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6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ata &amp; Dashboard\2022\5. 2022-23 Quarter 3 - October -Dec 2022\"/>
    </mc:Choice>
  </mc:AlternateContent>
  <xr:revisionPtr revIDLastSave="0" documentId="13_ncr:1_{EF2F1F16-880C-49B6-B6BE-3CB6BAC40EC8}" xr6:coauthVersionLast="47" xr6:coauthVersionMax="47" xr10:uidLastSave="{00000000-0000-0000-0000-000000000000}"/>
  <bookViews>
    <workbookView xWindow="-28920" yWindow="-120" windowWidth="29040" windowHeight="15840" tabRatio="729" xr2:uid="{00000000-000D-0000-FFFF-FFFF00000000}"/>
  </bookViews>
  <sheets>
    <sheet name="Front Page" sheetId="5" r:id="rId1"/>
    <sheet name="RAG Ratings" sheetId="15" r:id="rId2"/>
    <sheet name="Q1 ADULTS" sheetId="37" r:id="rId3"/>
    <sheet name="Q1 PAEDS" sheetId="38" r:id="rId4"/>
    <sheet name="Q1 Graphs" sheetId="43" r:id="rId5"/>
    <sheet name="Q2 ADULTS" sheetId="46" r:id="rId6"/>
    <sheet name="Q2 PAEDS" sheetId="47" r:id="rId7"/>
    <sheet name="Q2 Graphs" sheetId="55" r:id="rId8"/>
    <sheet name="Q3 ADULTS" sheetId="51" r:id="rId9"/>
    <sheet name="Q3 PAEDS" sheetId="53" r:id="rId10"/>
    <sheet name="Q3 Graphs" sheetId="56" r:id="rId11"/>
    <sheet name="Q4 ADULTS" sheetId="52" state="hidden" r:id="rId12"/>
    <sheet name="Q4 PAEDS" sheetId="54" state="hidden" r:id="rId13"/>
    <sheet name="Q4 Graphs" sheetId="57" state="hidden" r:id="rId14"/>
    <sheet name="Y2D Adult OP" sheetId="2" r:id="rId15"/>
    <sheet name="Y2D Paeds OP" sheetId="6" r:id="rId16"/>
    <sheet name="Data" sheetId="4" state="hidden" r:id="rId17"/>
    <sheet name="Graph data Q1" sheetId="44" state="hidden" r:id="rId18"/>
    <sheet name="Graph data Q2" sheetId="48" state="hidden" r:id="rId19"/>
    <sheet name="Graph data Q3" sheetId="49" state="hidden" r:id="rId20"/>
    <sheet name="Graph data Q4" sheetId="50" state="hidden" r:id="rId21"/>
    <sheet name="Graph data Y2D" sheetId="30" state="hidden" r:id="rId22"/>
    <sheet name="Control" sheetId="3" state="hidden" r:id="rId23"/>
  </sheets>
  <definedNames>
    <definedName name="_xlnm._FilterDatabase" localSheetId="18" hidden="1">'Graph data Q2'!$A$13:$E$27</definedName>
    <definedName name="_xlnm._FilterDatabase" localSheetId="2" hidden="1">'Q1 ADULTS'!$B$5:$AA$24</definedName>
    <definedName name="_xlnm._FilterDatabase" localSheetId="3" hidden="1">'Q1 PAEDS'!$B$5:$AA$25</definedName>
    <definedName name="_xlnm._FilterDatabase" localSheetId="5" hidden="1">'Q2 ADULTS'!$B$5:$AA$24</definedName>
    <definedName name="_xlnm._FilterDatabase" localSheetId="6" hidden="1">'Q2 PAEDS'!$B$5:$AA$25</definedName>
    <definedName name="_xlnm._FilterDatabase" localSheetId="8" hidden="1">'Q3 ADULTS'!$B$5:$AA$24</definedName>
    <definedName name="_xlnm._FilterDatabase" localSheetId="9" hidden="1">'Q3 PAEDS'!$B$5:$AA$25</definedName>
    <definedName name="_xlnm._FilterDatabase" localSheetId="11" hidden="1">'Q4 ADULTS'!$B$5:$AA$24</definedName>
    <definedName name="_xlnm._FilterDatabase" localSheetId="12" hidden="1">'Q4 PAEDS'!$B$5:$AA$25</definedName>
    <definedName name="AdultChoice">Control!$C$19</definedName>
    <definedName name="AdultSites">Control!$A$1:$C$18</definedName>
    <definedName name="PaedChoice">Control!$C$41</definedName>
    <definedName name="PaedSites">Control!$A$22:$B$40</definedName>
    <definedName name="Q1_Adult">Data!$A$3:$V$23</definedName>
    <definedName name="Q1_Paeds">Data!$A$27:$V$48</definedName>
    <definedName name="Q2_Adult">Data!$A$53:$V$73</definedName>
    <definedName name="Q2_Paeds">Data!$A$77:$V$98</definedName>
    <definedName name="Q3_Adult">Data!$A$103:$V$123</definedName>
    <definedName name="Q3_Paeds">Data!$A$127:$V$148</definedName>
    <definedName name="Q4_Adult">Data!$A$153:$V$173</definedName>
    <definedName name="Q4_Paeds">Data!$A$177:$V$198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8" i="37" l="1"/>
  <c r="Z8" i="37"/>
  <c r="Y8" i="37"/>
  <c r="W8" i="37"/>
  <c r="U8" i="37"/>
  <c r="S8" i="37"/>
  <c r="Q8" i="37"/>
  <c r="P8" i="37"/>
  <c r="N8" i="37"/>
  <c r="L8" i="37"/>
  <c r="J8" i="37"/>
  <c r="H8" i="37"/>
  <c r="G8" i="37"/>
  <c r="F8" i="37"/>
  <c r="AA8" i="46"/>
  <c r="Z8" i="46"/>
  <c r="Y8" i="46"/>
  <c r="W8" i="46"/>
  <c r="U8" i="46"/>
  <c r="S8" i="46"/>
  <c r="Q8" i="46"/>
  <c r="P8" i="46"/>
  <c r="N8" i="46"/>
  <c r="L8" i="46"/>
  <c r="J8" i="46"/>
  <c r="H8" i="46"/>
  <c r="G8" i="46"/>
  <c r="F8" i="46"/>
  <c r="AA8" i="51"/>
  <c r="Z8" i="51"/>
  <c r="Y8" i="51"/>
  <c r="W8" i="51"/>
  <c r="U8" i="51"/>
  <c r="S8" i="51"/>
  <c r="Q8" i="51"/>
  <c r="P8" i="51"/>
  <c r="N8" i="51"/>
  <c r="L8" i="51"/>
  <c r="J8" i="51"/>
  <c r="H8" i="51"/>
  <c r="G8" i="51"/>
  <c r="F8" i="51"/>
  <c r="AA8" i="52"/>
  <c r="Z8" i="52"/>
  <c r="Y8" i="52"/>
  <c r="W8" i="52"/>
  <c r="U8" i="52"/>
  <c r="S8" i="52"/>
  <c r="Q8" i="52"/>
  <c r="P8" i="52"/>
  <c r="N8" i="52"/>
  <c r="L8" i="52"/>
  <c r="J8" i="52"/>
  <c r="H8" i="52"/>
  <c r="G8" i="52"/>
  <c r="F8" i="52"/>
  <c r="AA18" i="52"/>
  <c r="Z18" i="52"/>
  <c r="Y18" i="52"/>
  <c r="W18" i="52"/>
  <c r="U18" i="52"/>
  <c r="S18" i="52"/>
  <c r="Q18" i="52"/>
  <c r="P18" i="52"/>
  <c r="N18" i="52"/>
  <c r="L18" i="52"/>
  <c r="J18" i="52"/>
  <c r="H18" i="52"/>
  <c r="G18" i="52"/>
  <c r="F18" i="52"/>
  <c r="AA18" i="51"/>
  <c r="Z18" i="51"/>
  <c r="Y18" i="51"/>
  <c r="W18" i="51"/>
  <c r="U18" i="51"/>
  <c r="S18" i="51"/>
  <c r="Q18" i="51"/>
  <c r="P18" i="51"/>
  <c r="N18" i="51"/>
  <c r="L18" i="51"/>
  <c r="J18" i="51"/>
  <c r="H18" i="51"/>
  <c r="G18" i="51"/>
  <c r="F18" i="51"/>
  <c r="AA18" i="46"/>
  <c r="Z18" i="46"/>
  <c r="Y18" i="46"/>
  <c r="W18" i="46"/>
  <c r="U18" i="46"/>
  <c r="S18" i="46"/>
  <c r="Q18" i="46"/>
  <c r="P18" i="46"/>
  <c r="N18" i="46"/>
  <c r="L18" i="46"/>
  <c r="J18" i="46"/>
  <c r="H18" i="46"/>
  <c r="G18" i="46"/>
  <c r="F18" i="46"/>
  <c r="AA18" i="37"/>
  <c r="Z18" i="37"/>
  <c r="Y18" i="37"/>
  <c r="W18" i="37"/>
  <c r="U18" i="37"/>
  <c r="S18" i="37"/>
  <c r="Q18" i="37"/>
  <c r="P18" i="37"/>
  <c r="N18" i="37"/>
  <c r="L18" i="37"/>
  <c r="J18" i="37"/>
  <c r="H18" i="37"/>
  <c r="G18" i="37"/>
  <c r="F18" i="37"/>
  <c r="J24" i="44"/>
  <c r="K24" i="4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173" i="4"/>
  <c r="B24" i="52" s="1"/>
  <c r="B172" i="4"/>
  <c r="B23" i="52" s="1"/>
  <c r="B171" i="4"/>
  <c r="B22" i="52" s="1"/>
  <c r="B170" i="4"/>
  <c r="B21" i="52" s="1"/>
  <c r="B169" i="4"/>
  <c r="B20" i="52" s="1"/>
  <c r="B168" i="4"/>
  <c r="B19" i="52" s="1"/>
  <c r="B167" i="4"/>
  <c r="B18" i="52" s="1"/>
  <c r="B166" i="4"/>
  <c r="B8" i="52" s="1"/>
  <c r="B165" i="4"/>
  <c r="B17" i="52" s="1"/>
  <c r="B164" i="4"/>
  <c r="B16" i="52" s="1"/>
  <c r="B163" i="4"/>
  <c r="B15" i="52" s="1"/>
  <c r="B162" i="4"/>
  <c r="B14" i="52" s="1"/>
  <c r="B161" i="4"/>
  <c r="B13" i="52" s="1"/>
  <c r="B160" i="4"/>
  <c r="B12" i="52" s="1"/>
  <c r="B159" i="4"/>
  <c r="B11" i="52" s="1"/>
  <c r="B158" i="4"/>
  <c r="B9" i="52" s="1"/>
  <c r="B157" i="4"/>
  <c r="B10" i="52" s="1"/>
  <c r="B123" i="4"/>
  <c r="B24" i="51" s="1"/>
  <c r="B122" i="4"/>
  <c r="B23" i="51" s="1"/>
  <c r="B121" i="4"/>
  <c r="B22" i="51" s="1"/>
  <c r="B120" i="4"/>
  <c r="B21" i="51" s="1"/>
  <c r="B119" i="4"/>
  <c r="B20" i="51" s="1"/>
  <c r="B118" i="4"/>
  <c r="B19" i="51" s="1"/>
  <c r="B117" i="4"/>
  <c r="B18" i="51" s="1"/>
  <c r="B116" i="4"/>
  <c r="B8" i="51" s="1"/>
  <c r="B115" i="4"/>
  <c r="B17" i="51" s="1"/>
  <c r="B114" i="4"/>
  <c r="B16" i="51" s="1"/>
  <c r="B113" i="4"/>
  <c r="B15" i="51" s="1"/>
  <c r="B112" i="4"/>
  <c r="B14" i="51" s="1"/>
  <c r="B111" i="4"/>
  <c r="B13" i="51" s="1"/>
  <c r="B110" i="4"/>
  <c r="B12" i="51" s="1"/>
  <c r="B109" i="4"/>
  <c r="B11" i="51" s="1"/>
  <c r="B108" i="4"/>
  <c r="B9" i="51" s="1"/>
  <c r="B107" i="4"/>
  <c r="B10" i="51" s="1"/>
  <c r="B73" i="4"/>
  <c r="B24" i="46" s="1"/>
  <c r="B72" i="4"/>
  <c r="B23" i="46" s="1"/>
  <c r="B71" i="4"/>
  <c r="B22" i="46" s="1"/>
  <c r="B70" i="4"/>
  <c r="B21" i="46" s="1"/>
  <c r="B69" i="4"/>
  <c r="B20" i="46" s="1"/>
  <c r="B68" i="4"/>
  <c r="B19" i="46" s="1"/>
  <c r="B67" i="4"/>
  <c r="B18" i="46" s="1"/>
  <c r="B66" i="4"/>
  <c r="B8" i="46" s="1"/>
  <c r="B65" i="4"/>
  <c r="B17" i="46" s="1"/>
  <c r="B64" i="4"/>
  <c r="B16" i="46" s="1"/>
  <c r="B63" i="4"/>
  <c r="B15" i="46" s="1"/>
  <c r="B62" i="4"/>
  <c r="B14" i="46" s="1"/>
  <c r="B61" i="4"/>
  <c r="B13" i="46" s="1"/>
  <c r="B60" i="4"/>
  <c r="B12" i="46" s="1"/>
  <c r="B59" i="4"/>
  <c r="B11" i="46" s="1"/>
  <c r="B58" i="4"/>
  <c r="B9" i="46" s="1"/>
  <c r="B57" i="4"/>
  <c r="B10" i="46" s="1"/>
  <c r="B23" i="4"/>
  <c r="B24" i="37" s="1"/>
  <c r="B22" i="4"/>
  <c r="B23" i="37" s="1"/>
  <c r="B21" i="4"/>
  <c r="B22" i="37" s="1"/>
  <c r="B20" i="4"/>
  <c r="B21" i="37" s="1"/>
  <c r="B19" i="4"/>
  <c r="B20" i="37" s="1"/>
  <c r="B18" i="4"/>
  <c r="B19" i="37" s="1"/>
  <c r="B17" i="4"/>
  <c r="B18" i="37" s="1"/>
  <c r="B16" i="4"/>
  <c r="B8" i="37" s="1"/>
  <c r="B15" i="4"/>
  <c r="B17" i="37" s="1"/>
  <c r="B14" i="4"/>
  <c r="B16" i="37" s="1"/>
  <c r="B13" i="4"/>
  <c r="B15" i="37" s="1"/>
  <c r="B12" i="4"/>
  <c r="B14" i="37" s="1"/>
  <c r="B11" i="4"/>
  <c r="B13" i="37" s="1"/>
  <c r="B10" i="4"/>
  <c r="B12" i="37" s="1"/>
  <c r="B9" i="4"/>
  <c r="B11" i="37" s="1"/>
  <c r="B8" i="4"/>
  <c r="B9" i="37" s="1"/>
  <c r="B7" i="4"/>
  <c r="B10" i="37" s="1"/>
  <c r="C41" i="3"/>
  <c r="C19" i="3"/>
  <c r="L24" i="44" l="1"/>
  <c r="AA25" i="53"/>
  <c r="Z25" i="53"/>
  <c r="Y25" i="53"/>
  <c r="W25" i="53"/>
  <c r="U25" i="53"/>
  <c r="S25" i="53"/>
  <c r="Q25" i="53"/>
  <c r="P25" i="53"/>
  <c r="N25" i="53"/>
  <c r="L25" i="53"/>
  <c r="J25" i="53"/>
  <c r="H25" i="53"/>
  <c r="G25" i="53"/>
  <c r="F25" i="53"/>
  <c r="AA24" i="53"/>
  <c r="Z24" i="53"/>
  <c r="Y24" i="53"/>
  <c r="W24" i="53"/>
  <c r="U24" i="53"/>
  <c r="S24" i="53"/>
  <c r="Q24" i="53"/>
  <c r="P24" i="53"/>
  <c r="N24" i="53"/>
  <c r="L24" i="53"/>
  <c r="J24" i="53"/>
  <c r="H24" i="53"/>
  <c r="G24" i="53"/>
  <c r="F24" i="53"/>
  <c r="AA23" i="53"/>
  <c r="Z23" i="53"/>
  <c r="Y23" i="53"/>
  <c r="W23" i="53"/>
  <c r="U23" i="53"/>
  <c r="S23" i="53"/>
  <c r="Q23" i="53"/>
  <c r="P23" i="53"/>
  <c r="N23" i="53"/>
  <c r="L23" i="53"/>
  <c r="J23" i="53"/>
  <c r="H23" i="53"/>
  <c r="G23" i="53"/>
  <c r="F23" i="53"/>
  <c r="AA22" i="53"/>
  <c r="Z22" i="53"/>
  <c r="Y22" i="53"/>
  <c r="W22" i="53"/>
  <c r="U22" i="53"/>
  <c r="S22" i="53"/>
  <c r="Q22" i="53"/>
  <c r="P22" i="53"/>
  <c r="N22" i="53"/>
  <c r="L22" i="53"/>
  <c r="J22" i="53"/>
  <c r="H22" i="53"/>
  <c r="G22" i="53"/>
  <c r="F22" i="53"/>
  <c r="AA21" i="53"/>
  <c r="Z21" i="53"/>
  <c r="Y21" i="53"/>
  <c r="W21" i="53"/>
  <c r="U21" i="53"/>
  <c r="S21" i="53"/>
  <c r="Q21" i="53"/>
  <c r="P21" i="53"/>
  <c r="N21" i="53"/>
  <c r="L21" i="53"/>
  <c r="J21" i="53"/>
  <c r="H21" i="53"/>
  <c r="G21" i="53"/>
  <c r="F21" i="53"/>
  <c r="AA20" i="53"/>
  <c r="Z20" i="53"/>
  <c r="Y20" i="53"/>
  <c r="W20" i="53"/>
  <c r="U20" i="53"/>
  <c r="S20" i="53"/>
  <c r="Q20" i="53"/>
  <c r="P20" i="53"/>
  <c r="N20" i="53"/>
  <c r="L20" i="53"/>
  <c r="J20" i="53"/>
  <c r="H20" i="53"/>
  <c r="G20" i="53"/>
  <c r="F20" i="53"/>
  <c r="AA19" i="53"/>
  <c r="Z19" i="53"/>
  <c r="Y19" i="53"/>
  <c r="W19" i="53"/>
  <c r="U19" i="53"/>
  <c r="S19" i="53"/>
  <c r="Q19" i="53"/>
  <c r="P19" i="53"/>
  <c r="N19" i="53"/>
  <c r="L19" i="53"/>
  <c r="J19" i="53"/>
  <c r="H19" i="53"/>
  <c r="G19" i="53"/>
  <c r="F19" i="53"/>
  <c r="AA18" i="53"/>
  <c r="Z18" i="53"/>
  <c r="Y18" i="53"/>
  <c r="W18" i="53"/>
  <c r="U18" i="53"/>
  <c r="S18" i="53"/>
  <c r="Q18" i="53"/>
  <c r="P18" i="53"/>
  <c r="N18" i="53"/>
  <c r="L18" i="53"/>
  <c r="J18" i="53"/>
  <c r="H18" i="53"/>
  <c r="G18" i="53"/>
  <c r="F18" i="53"/>
  <c r="AA17" i="53"/>
  <c r="Z17" i="53"/>
  <c r="Y17" i="53"/>
  <c r="W17" i="53"/>
  <c r="U17" i="53"/>
  <c r="S17" i="53"/>
  <c r="Q17" i="53"/>
  <c r="P17" i="53"/>
  <c r="N17" i="53"/>
  <c r="L17" i="53"/>
  <c r="J17" i="53"/>
  <c r="H17" i="53"/>
  <c r="G17" i="53"/>
  <c r="F17" i="53"/>
  <c r="AA16" i="53"/>
  <c r="Z16" i="53"/>
  <c r="Y16" i="53"/>
  <c r="W16" i="53"/>
  <c r="U16" i="53"/>
  <c r="S16" i="53"/>
  <c r="Q16" i="53"/>
  <c r="P16" i="53"/>
  <c r="N16" i="53"/>
  <c r="L16" i="53"/>
  <c r="J16" i="53"/>
  <c r="H16" i="53"/>
  <c r="G16" i="53"/>
  <c r="F16" i="53"/>
  <c r="AA15" i="53"/>
  <c r="Z15" i="53"/>
  <c r="Y15" i="53"/>
  <c r="W15" i="53"/>
  <c r="U15" i="53"/>
  <c r="S15" i="53"/>
  <c r="Q15" i="53"/>
  <c r="P15" i="53"/>
  <c r="N15" i="53"/>
  <c r="L15" i="53"/>
  <c r="J15" i="53"/>
  <c r="H15" i="53"/>
  <c r="G15" i="53"/>
  <c r="F15" i="53"/>
  <c r="AA14" i="53"/>
  <c r="Z14" i="53"/>
  <c r="Y14" i="53"/>
  <c r="W14" i="53"/>
  <c r="U14" i="53"/>
  <c r="S14" i="53"/>
  <c r="Q14" i="53"/>
  <c r="P14" i="53"/>
  <c r="N14" i="53"/>
  <c r="L14" i="53"/>
  <c r="J14" i="53"/>
  <c r="H14" i="53"/>
  <c r="G14" i="53"/>
  <c r="F14" i="53"/>
  <c r="AA13" i="53"/>
  <c r="Z13" i="53"/>
  <c r="Y13" i="53"/>
  <c r="W13" i="53"/>
  <c r="U13" i="53"/>
  <c r="S13" i="53"/>
  <c r="Q13" i="53"/>
  <c r="P13" i="53"/>
  <c r="N13" i="53"/>
  <c r="L13" i="53"/>
  <c r="J13" i="53"/>
  <c r="H13" i="53"/>
  <c r="G13" i="53"/>
  <c r="F13" i="53"/>
  <c r="AA12" i="53"/>
  <c r="Z12" i="53"/>
  <c r="Y12" i="53"/>
  <c r="W12" i="53"/>
  <c r="U12" i="53"/>
  <c r="S12" i="53"/>
  <c r="Q12" i="53"/>
  <c r="P12" i="53"/>
  <c r="N12" i="53"/>
  <c r="L12" i="53"/>
  <c r="J12" i="53"/>
  <c r="H12" i="53"/>
  <c r="G12" i="53"/>
  <c r="F12" i="53"/>
  <c r="AA11" i="53"/>
  <c r="Z11" i="53"/>
  <c r="Y11" i="53"/>
  <c r="W11" i="53"/>
  <c r="U11" i="53"/>
  <c r="S11" i="53"/>
  <c r="Q11" i="53"/>
  <c r="P11" i="53"/>
  <c r="N11" i="53"/>
  <c r="L11" i="53"/>
  <c r="J11" i="53"/>
  <c r="H11" i="53"/>
  <c r="G11" i="53"/>
  <c r="F11" i="53"/>
  <c r="AA10" i="53"/>
  <c r="Z10" i="53"/>
  <c r="Y10" i="53"/>
  <c r="W10" i="53"/>
  <c r="U10" i="53"/>
  <c r="S10" i="53"/>
  <c r="Q10" i="53"/>
  <c r="P10" i="53"/>
  <c r="N10" i="53"/>
  <c r="L10" i="53"/>
  <c r="J10" i="53"/>
  <c r="H10" i="53"/>
  <c r="G10" i="53"/>
  <c r="F10" i="53"/>
  <c r="AA9" i="53"/>
  <c r="Z9" i="53"/>
  <c r="Y9" i="53"/>
  <c r="W9" i="53"/>
  <c r="U9" i="53"/>
  <c r="S9" i="53"/>
  <c r="Q9" i="53"/>
  <c r="P9" i="53"/>
  <c r="N9" i="53"/>
  <c r="L9" i="53"/>
  <c r="J9" i="53"/>
  <c r="H9" i="53"/>
  <c r="G9" i="53"/>
  <c r="F9" i="53"/>
  <c r="AA8" i="53"/>
  <c r="Z8" i="53"/>
  <c r="Y8" i="53"/>
  <c r="W8" i="53"/>
  <c r="U8" i="53"/>
  <c r="S8" i="53"/>
  <c r="Q8" i="53"/>
  <c r="P8" i="53"/>
  <c r="N8" i="53"/>
  <c r="L8" i="53"/>
  <c r="J8" i="53"/>
  <c r="H8" i="53"/>
  <c r="G8" i="53"/>
  <c r="F8" i="53"/>
  <c r="AA25" i="54"/>
  <c r="Z25" i="54"/>
  <c r="Y25" i="54"/>
  <c r="W25" i="54"/>
  <c r="U25" i="54"/>
  <c r="S25" i="54"/>
  <c r="Q25" i="54"/>
  <c r="P25" i="54"/>
  <c r="O25" i="54" s="1"/>
  <c r="N25" i="54"/>
  <c r="L25" i="54"/>
  <c r="J25" i="54"/>
  <c r="H25" i="54"/>
  <c r="I25" i="54" s="1"/>
  <c r="G25" i="54"/>
  <c r="F25" i="54"/>
  <c r="AA24" i="54"/>
  <c r="Z24" i="54"/>
  <c r="Y24" i="54"/>
  <c r="W24" i="54"/>
  <c r="X24" i="54" s="1"/>
  <c r="U24" i="54"/>
  <c r="V24" i="54" s="1"/>
  <c r="S24" i="54"/>
  <c r="T24" i="54" s="1"/>
  <c r="Q24" i="54"/>
  <c r="P24" i="54"/>
  <c r="N24" i="54"/>
  <c r="L24" i="54"/>
  <c r="J24" i="54"/>
  <c r="H24" i="54"/>
  <c r="G24" i="54"/>
  <c r="F24" i="54"/>
  <c r="AA23" i="54"/>
  <c r="Z23" i="54"/>
  <c r="Y23" i="54"/>
  <c r="V23" i="54" s="1"/>
  <c r="W23" i="54"/>
  <c r="X23" i="54" s="1"/>
  <c r="U23" i="54"/>
  <c r="S23" i="54"/>
  <c r="Q23" i="54"/>
  <c r="R23" i="54" s="1"/>
  <c r="P23" i="54"/>
  <c r="O23" i="54" s="1"/>
  <c r="N23" i="54"/>
  <c r="L23" i="54"/>
  <c r="J23" i="54"/>
  <c r="H23" i="54"/>
  <c r="I23" i="54" s="1"/>
  <c r="G23" i="54"/>
  <c r="F23" i="54"/>
  <c r="AA22" i="54"/>
  <c r="Z22" i="54"/>
  <c r="Y22" i="54"/>
  <c r="W22" i="54"/>
  <c r="U22" i="54"/>
  <c r="S22" i="54"/>
  <c r="T22" i="54" s="1"/>
  <c r="Q22" i="54"/>
  <c r="P22" i="54"/>
  <c r="K22" i="54" s="1"/>
  <c r="N22" i="54"/>
  <c r="L22" i="54"/>
  <c r="J22" i="54"/>
  <c r="H22" i="54"/>
  <c r="G22" i="54"/>
  <c r="F22" i="54"/>
  <c r="AA21" i="54"/>
  <c r="Z21" i="54"/>
  <c r="Y21" i="54"/>
  <c r="W21" i="54"/>
  <c r="U21" i="54"/>
  <c r="S21" i="54"/>
  <c r="Q21" i="54"/>
  <c r="P21" i="54"/>
  <c r="O21" i="54" s="1"/>
  <c r="N21" i="54"/>
  <c r="L21" i="54"/>
  <c r="J21" i="54"/>
  <c r="H21" i="54"/>
  <c r="G21" i="54"/>
  <c r="F21" i="54"/>
  <c r="AA20" i="54"/>
  <c r="Z20" i="54"/>
  <c r="Y20" i="54"/>
  <c r="W20" i="54"/>
  <c r="U20" i="54"/>
  <c r="S20" i="54"/>
  <c r="T20" i="54" s="1"/>
  <c r="Q20" i="54"/>
  <c r="P20" i="54"/>
  <c r="N20" i="54"/>
  <c r="L20" i="54"/>
  <c r="J20" i="54"/>
  <c r="H20" i="54"/>
  <c r="G20" i="54"/>
  <c r="F20" i="54"/>
  <c r="AA19" i="54"/>
  <c r="Z19" i="54"/>
  <c r="Y19" i="54"/>
  <c r="W19" i="54"/>
  <c r="X19" i="54" s="1"/>
  <c r="U19" i="54"/>
  <c r="S19" i="54"/>
  <c r="Q19" i="54"/>
  <c r="R19" i="54" s="1"/>
  <c r="P19" i="54"/>
  <c r="O19" i="54" s="1"/>
  <c r="N19" i="54"/>
  <c r="L19" i="54"/>
  <c r="J19" i="54"/>
  <c r="H19" i="54"/>
  <c r="I19" i="54" s="1"/>
  <c r="G19" i="54"/>
  <c r="F19" i="54"/>
  <c r="AA18" i="54"/>
  <c r="Z18" i="54"/>
  <c r="Y18" i="54"/>
  <c r="W18" i="54"/>
  <c r="U18" i="54"/>
  <c r="S18" i="54"/>
  <c r="T18" i="54" s="1"/>
  <c r="Q18" i="54"/>
  <c r="P18" i="54"/>
  <c r="N18" i="54"/>
  <c r="L18" i="54"/>
  <c r="J18" i="54"/>
  <c r="H18" i="54"/>
  <c r="G18" i="54"/>
  <c r="F18" i="54"/>
  <c r="AA17" i="54"/>
  <c r="Z17" i="54"/>
  <c r="Y17" i="54"/>
  <c r="W17" i="54"/>
  <c r="U17" i="54"/>
  <c r="S17" i="54"/>
  <c r="Q17" i="54"/>
  <c r="P17" i="54"/>
  <c r="O17" i="54" s="1"/>
  <c r="N17" i="54"/>
  <c r="L17" i="54"/>
  <c r="J17" i="54"/>
  <c r="H17" i="54"/>
  <c r="I17" i="54" s="1"/>
  <c r="G17" i="54"/>
  <c r="F17" i="54"/>
  <c r="AA16" i="54"/>
  <c r="Z16" i="54"/>
  <c r="Y16" i="54"/>
  <c r="W16" i="54"/>
  <c r="U16" i="54"/>
  <c r="S16" i="54"/>
  <c r="T16" i="54" s="1"/>
  <c r="Q16" i="54"/>
  <c r="P16" i="54"/>
  <c r="N16" i="54"/>
  <c r="L16" i="54"/>
  <c r="J16" i="54"/>
  <c r="H16" i="54"/>
  <c r="G16" i="54"/>
  <c r="F16" i="54"/>
  <c r="AA15" i="54"/>
  <c r="Z15" i="54"/>
  <c r="Y15" i="54"/>
  <c r="W15" i="54"/>
  <c r="U15" i="54"/>
  <c r="S15" i="54"/>
  <c r="Q15" i="54"/>
  <c r="R15" i="54" s="1"/>
  <c r="P15" i="54"/>
  <c r="O15" i="54" s="1"/>
  <c r="N15" i="54"/>
  <c r="L15" i="54"/>
  <c r="J15" i="54"/>
  <c r="H15" i="54"/>
  <c r="G15" i="54"/>
  <c r="F15" i="54"/>
  <c r="AA14" i="54"/>
  <c r="Z14" i="54"/>
  <c r="Y14" i="54"/>
  <c r="W14" i="54"/>
  <c r="U14" i="54"/>
  <c r="S14" i="54"/>
  <c r="Q14" i="54"/>
  <c r="P14" i="54"/>
  <c r="N14" i="54"/>
  <c r="L14" i="54"/>
  <c r="J14" i="54"/>
  <c r="H14" i="54"/>
  <c r="G14" i="54"/>
  <c r="F14" i="54"/>
  <c r="AA13" i="54"/>
  <c r="Z13" i="54"/>
  <c r="Y13" i="54"/>
  <c r="W13" i="54"/>
  <c r="U13" i="54"/>
  <c r="S13" i="54"/>
  <c r="Q13" i="54"/>
  <c r="P13" i="54"/>
  <c r="N13" i="54"/>
  <c r="L13" i="54"/>
  <c r="J13" i="54"/>
  <c r="H13" i="54"/>
  <c r="I13" i="54" s="1"/>
  <c r="G13" i="54"/>
  <c r="F13" i="54"/>
  <c r="AA12" i="54"/>
  <c r="Z12" i="54"/>
  <c r="Y12" i="54"/>
  <c r="W12" i="54"/>
  <c r="U12" i="54"/>
  <c r="S12" i="54"/>
  <c r="Q12" i="54"/>
  <c r="P12" i="54"/>
  <c r="N12" i="54"/>
  <c r="L12" i="54"/>
  <c r="J12" i="54"/>
  <c r="H12" i="54"/>
  <c r="G12" i="54"/>
  <c r="F12" i="54"/>
  <c r="AA11" i="54"/>
  <c r="Z11" i="54"/>
  <c r="Y11" i="54"/>
  <c r="W11" i="54"/>
  <c r="U11" i="54"/>
  <c r="S11" i="54"/>
  <c r="Q11" i="54"/>
  <c r="P11" i="54"/>
  <c r="O11" i="54" s="1"/>
  <c r="N11" i="54"/>
  <c r="L11" i="54"/>
  <c r="J11" i="54"/>
  <c r="H11" i="54"/>
  <c r="G11" i="54"/>
  <c r="F11" i="54"/>
  <c r="AA10" i="54"/>
  <c r="Z10" i="54"/>
  <c r="Y10" i="54"/>
  <c r="W10" i="54"/>
  <c r="U10" i="54"/>
  <c r="S10" i="54"/>
  <c r="Q10" i="54"/>
  <c r="P10" i="54"/>
  <c r="N10" i="54"/>
  <c r="L10" i="54"/>
  <c r="J10" i="54"/>
  <c r="H10" i="54"/>
  <c r="G10" i="54"/>
  <c r="F10" i="54"/>
  <c r="AA9" i="54"/>
  <c r="Z9" i="54"/>
  <c r="Y9" i="54"/>
  <c r="W9" i="54"/>
  <c r="U9" i="54"/>
  <c r="S9" i="54"/>
  <c r="Q9" i="54"/>
  <c r="P9" i="54"/>
  <c r="N9" i="54"/>
  <c r="L9" i="54"/>
  <c r="J9" i="54"/>
  <c r="H9" i="54"/>
  <c r="I9" i="54" s="1"/>
  <c r="G9" i="54"/>
  <c r="F9" i="54"/>
  <c r="AA8" i="54"/>
  <c r="Z8" i="54"/>
  <c r="Y8" i="54"/>
  <c r="W8" i="54"/>
  <c r="U8" i="54"/>
  <c r="S8" i="54"/>
  <c r="T8" i="54" s="1"/>
  <c r="Q8" i="54"/>
  <c r="P8" i="54"/>
  <c r="N8" i="54"/>
  <c r="L8" i="54"/>
  <c r="J8" i="54"/>
  <c r="H8" i="54"/>
  <c r="G8" i="54"/>
  <c r="F8" i="54"/>
  <c r="R24" i="54"/>
  <c r="R22" i="54"/>
  <c r="X20" i="54"/>
  <c r="R20" i="54"/>
  <c r="R18" i="54"/>
  <c r="R14" i="54"/>
  <c r="R12" i="54"/>
  <c r="AA24" i="52"/>
  <c r="Z24" i="52"/>
  <c r="Y24" i="52"/>
  <c r="W24" i="52"/>
  <c r="U24" i="52"/>
  <c r="S24" i="52"/>
  <c r="Q24" i="52"/>
  <c r="R24" i="52" s="1"/>
  <c r="P24" i="52"/>
  <c r="N24" i="52"/>
  <c r="L24" i="52"/>
  <c r="J24" i="52"/>
  <c r="H24" i="52"/>
  <c r="G24" i="52"/>
  <c r="F24" i="52"/>
  <c r="AA23" i="52"/>
  <c r="Z23" i="52"/>
  <c r="Y23" i="52"/>
  <c r="W23" i="52"/>
  <c r="U23" i="52"/>
  <c r="S23" i="52"/>
  <c r="Q23" i="52"/>
  <c r="P23" i="52"/>
  <c r="N23" i="52"/>
  <c r="L23" i="52"/>
  <c r="J23" i="52"/>
  <c r="H23" i="52"/>
  <c r="I23" i="52" s="1"/>
  <c r="G23" i="52"/>
  <c r="F23" i="52"/>
  <c r="AA22" i="52"/>
  <c r="Z22" i="52"/>
  <c r="Y22" i="52"/>
  <c r="W22" i="52"/>
  <c r="U22" i="52"/>
  <c r="S22" i="52"/>
  <c r="Q22" i="52"/>
  <c r="P22" i="52"/>
  <c r="N22" i="52"/>
  <c r="L22" i="52"/>
  <c r="J22" i="52"/>
  <c r="H22" i="52"/>
  <c r="I22" i="52" s="1"/>
  <c r="G22" i="52"/>
  <c r="F22" i="52"/>
  <c r="AA21" i="52"/>
  <c r="Z21" i="52"/>
  <c r="Y21" i="52"/>
  <c r="W21" i="52"/>
  <c r="U21" i="52"/>
  <c r="S21" i="52"/>
  <c r="Q21" i="52"/>
  <c r="P21" i="52"/>
  <c r="N21" i="52"/>
  <c r="L21" i="52"/>
  <c r="J21" i="52"/>
  <c r="H21" i="52"/>
  <c r="G21" i="52"/>
  <c r="F21" i="52"/>
  <c r="AA20" i="52"/>
  <c r="Z20" i="52"/>
  <c r="Y20" i="52"/>
  <c r="W20" i="52"/>
  <c r="U20" i="52"/>
  <c r="S20" i="52"/>
  <c r="Q20" i="52"/>
  <c r="R20" i="52" s="1"/>
  <c r="P20" i="52"/>
  <c r="N20" i="52"/>
  <c r="L20" i="52"/>
  <c r="J20" i="52"/>
  <c r="H20" i="52"/>
  <c r="G20" i="52"/>
  <c r="F20" i="52"/>
  <c r="AA19" i="52"/>
  <c r="Z19" i="52"/>
  <c r="Y19" i="52"/>
  <c r="W19" i="52"/>
  <c r="U19" i="52"/>
  <c r="S19" i="52"/>
  <c r="Q19" i="52"/>
  <c r="P19" i="52"/>
  <c r="N19" i="52"/>
  <c r="L19" i="52"/>
  <c r="J19" i="52"/>
  <c r="H19" i="52"/>
  <c r="G19" i="52"/>
  <c r="F19" i="52"/>
  <c r="R18" i="52"/>
  <c r="I18" i="52"/>
  <c r="AA17" i="52"/>
  <c r="Z17" i="52"/>
  <c r="Y17" i="52"/>
  <c r="W17" i="52"/>
  <c r="U17" i="52"/>
  <c r="S17" i="52"/>
  <c r="Q17" i="52"/>
  <c r="P17" i="52"/>
  <c r="N17" i="52"/>
  <c r="L17" i="52"/>
  <c r="J17" i="52"/>
  <c r="H17" i="52"/>
  <c r="G17" i="52"/>
  <c r="F17" i="52"/>
  <c r="AA16" i="52"/>
  <c r="Z16" i="52"/>
  <c r="Y16" i="52"/>
  <c r="W16" i="52"/>
  <c r="U16" i="52"/>
  <c r="S16" i="52"/>
  <c r="Q16" i="52"/>
  <c r="P16" i="52"/>
  <c r="N16" i="52"/>
  <c r="L16" i="52"/>
  <c r="J16" i="52"/>
  <c r="H16" i="52"/>
  <c r="G16" i="52"/>
  <c r="F16" i="52"/>
  <c r="AA15" i="52"/>
  <c r="Z15" i="52"/>
  <c r="Y15" i="52"/>
  <c r="W15" i="52"/>
  <c r="U15" i="52"/>
  <c r="S15" i="52"/>
  <c r="Q15" i="52"/>
  <c r="P15" i="52"/>
  <c r="N15" i="52"/>
  <c r="L15" i="52"/>
  <c r="J15" i="52"/>
  <c r="H15" i="52"/>
  <c r="G15" i="52"/>
  <c r="F15" i="52"/>
  <c r="AA14" i="52"/>
  <c r="Z14" i="52"/>
  <c r="Y14" i="52"/>
  <c r="W14" i="52"/>
  <c r="U14" i="52"/>
  <c r="S14" i="52"/>
  <c r="Q14" i="52"/>
  <c r="R14" i="52" s="1"/>
  <c r="P14" i="52"/>
  <c r="N14" i="52"/>
  <c r="L14" i="52"/>
  <c r="J14" i="52"/>
  <c r="H14" i="52"/>
  <c r="G14" i="52"/>
  <c r="F14" i="52"/>
  <c r="AA13" i="52"/>
  <c r="Z13" i="52"/>
  <c r="Y13" i="52"/>
  <c r="W13" i="52"/>
  <c r="U13" i="52"/>
  <c r="S13" i="52"/>
  <c r="Q13" i="52"/>
  <c r="P13" i="52"/>
  <c r="N13" i="52"/>
  <c r="L13" i="52"/>
  <c r="J13" i="52"/>
  <c r="H13" i="52"/>
  <c r="G13" i="52"/>
  <c r="F13" i="52"/>
  <c r="AA12" i="52"/>
  <c r="Z12" i="52"/>
  <c r="Y12" i="52"/>
  <c r="W12" i="52"/>
  <c r="U12" i="52"/>
  <c r="S12" i="52"/>
  <c r="Q12" i="52"/>
  <c r="P12" i="52"/>
  <c r="N12" i="52"/>
  <c r="L12" i="52"/>
  <c r="J12" i="52"/>
  <c r="H12" i="52"/>
  <c r="G12" i="52"/>
  <c r="F12" i="52"/>
  <c r="AA11" i="52"/>
  <c r="Z11" i="52"/>
  <c r="Y11" i="52"/>
  <c r="W11" i="52"/>
  <c r="U11" i="52"/>
  <c r="S11" i="52"/>
  <c r="Q11" i="52"/>
  <c r="P11" i="52"/>
  <c r="N11" i="52"/>
  <c r="L11" i="52"/>
  <c r="J11" i="52"/>
  <c r="H11" i="52"/>
  <c r="G11" i="52"/>
  <c r="F11" i="52"/>
  <c r="AA10" i="52"/>
  <c r="Z10" i="52"/>
  <c r="Y10" i="52"/>
  <c r="W10" i="52"/>
  <c r="U10" i="52"/>
  <c r="S10" i="52"/>
  <c r="Q10" i="52"/>
  <c r="P10" i="52"/>
  <c r="N10" i="52"/>
  <c r="L10" i="52"/>
  <c r="J10" i="52"/>
  <c r="H10" i="52"/>
  <c r="G10" i="52"/>
  <c r="F10" i="52"/>
  <c r="AA9" i="52"/>
  <c r="Z9" i="52"/>
  <c r="Y9" i="52"/>
  <c r="W9" i="52"/>
  <c r="U9" i="52"/>
  <c r="S9" i="52"/>
  <c r="Q9" i="52"/>
  <c r="P9" i="52"/>
  <c r="N9" i="52"/>
  <c r="L9" i="52"/>
  <c r="J9" i="52"/>
  <c r="H9" i="52"/>
  <c r="G9" i="52"/>
  <c r="F9" i="52"/>
  <c r="AA24" i="51"/>
  <c r="Z24" i="51"/>
  <c r="Y24" i="51"/>
  <c r="W24" i="51"/>
  <c r="U24" i="51"/>
  <c r="S24" i="51"/>
  <c r="Q24" i="51"/>
  <c r="P24" i="51"/>
  <c r="N24" i="51"/>
  <c r="L24" i="51"/>
  <c r="J24" i="51"/>
  <c r="H24" i="51"/>
  <c r="G24" i="51"/>
  <c r="F24" i="51"/>
  <c r="AA23" i="51"/>
  <c r="Z23" i="51"/>
  <c r="Y23" i="51"/>
  <c r="W23" i="51"/>
  <c r="U23" i="51"/>
  <c r="S23" i="51"/>
  <c r="Q23" i="51"/>
  <c r="P23" i="51"/>
  <c r="N23" i="51"/>
  <c r="L23" i="51"/>
  <c r="J23" i="51"/>
  <c r="H23" i="51"/>
  <c r="G23" i="51"/>
  <c r="F23" i="51"/>
  <c r="AA22" i="51"/>
  <c r="Z22" i="51"/>
  <c r="Y22" i="51"/>
  <c r="W22" i="51"/>
  <c r="U22" i="51"/>
  <c r="S22" i="51"/>
  <c r="Q22" i="51"/>
  <c r="P22" i="51"/>
  <c r="N22" i="51"/>
  <c r="L22" i="51"/>
  <c r="J22" i="51"/>
  <c r="H22" i="51"/>
  <c r="G22" i="51"/>
  <c r="F22" i="51"/>
  <c r="AA21" i="51"/>
  <c r="Z21" i="51"/>
  <c r="Y21" i="51"/>
  <c r="W21" i="51"/>
  <c r="U21" i="51"/>
  <c r="S21" i="51"/>
  <c r="Q21" i="51"/>
  <c r="P21" i="51"/>
  <c r="N21" i="51"/>
  <c r="L21" i="51"/>
  <c r="J21" i="51"/>
  <c r="H21" i="51"/>
  <c r="G21" i="51"/>
  <c r="F21" i="51"/>
  <c r="AA20" i="51"/>
  <c r="Z20" i="51"/>
  <c r="Y20" i="51"/>
  <c r="W20" i="51"/>
  <c r="U20" i="51"/>
  <c r="S20" i="51"/>
  <c r="Q20" i="51"/>
  <c r="P20" i="51"/>
  <c r="N20" i="51"/>
  <c r="L20" i="51"/>
  <c r="J20" i="51"/>
  <c r="H20" i="51"/>
  <c r="G20" i="51"/>
  <c r="F20" i="51"/>
  <c r="AA19" i="51"/>
  <c r="Z19" i="51"/>
  <c r="Y19" i="51"/>
  <c r="W19" i="51"/>
  <c r="U19" i="51"/>
  <c r="S19" i="51"/>
  <c r="Q19" i="51"/>
  <c r="P19" i="51"/>
  <c r="N19" i="51"/>
  <c r="L19" i="51"/>
  <c r="J19" i="51"/>
  <c r="H19" i="51"/>
  <c r="G19" i="51"/>
  <c r="F19" i="51"/>
  <c r="AA17" i="51"/>
  <c r="Z17" i="51"/>
  <c r="Y17" i="51"/>
  <c r="W17" i="51"/>
  <c r="U17" i="51"/>
  <c r="S17" i="51"/>
  <c r="Q17" i="51"/>
  <c r="P17" i="51"/>
  <c r="N17" i="51"/>
  <c r="L17" i="51"/>
  <c r="J17" i="51"/>
  <c r="H17" i="51"/>
  <c r="G17" i="51"/>
  <c r="F17" i="51"/>
  <c r="AA16" i="51"/>
  <c r="Z16" i="51"/>
  <c r="Y16" i="51"/>
  <c r="W16" i="51"/>
  <c r="U16" i="51"/>
  <c r="S16" i="51"/>
  <c r="Q16" i="51"/>
  <c r="P16" i="51"/>
  <c r="N16" i="51"/>
  <c r="L16" i="51"/>
  <c r="J16" i="51"/>
  <c r="H16" i="51"/>
  <c r="G16" i="51"/>
  <c r="F16" i="51"/>
  <c r="AA15" i="51"/>
  <c r="Z15" i="51"/>
  <c r="Y15" i="51"/>
  <c r="W15" i="51"/>
  <c r="U15" i="51"/>
  <c r="S15" i="51"/>
  <c r="Q15" i="51"/>
  <c r="P15" i="51"/>
  <c r="N15" i="51"/>
  <c r="L15" i="51"/>
  <c r="J15" i="51"/>
  <c r="H15" i="51"/>
  <c r="G15" i="51"/>
  <c r="F15" i="51"/>
  <c r="AA14" i="51"/>
  <c r="Z14" i="51"/>
  <c r="Y14" i="51"/>
  <c r="W14" i="51"/>
  <c r="U14" i="51"/>
  <c r="S14" i="51"/>
  <c r="Q14" i="51"/>
  <c r="P14" i="51"/>
  <c r="N14" i="51"/>
  <c r="L14" i="51"/>
  <c r="J14" i="51"/>
  <c r="H14" i="51"/>
  <c r="G14" i="51"/>
  <c r="F14" i="51"/>
  <c r="AA13" i="51"/>
  <c r="Z13" i="51"/>
  <c r="Y13" i="51"/>
  <c r="W13" i="51"/>
  <c r="U13" i="51"/>
  <c r="S13" i="51"/>
  <c r="Q13" i="51"/>
  <c r="P13" i="51"/>
  <c r="N13" i="51"/>
  <c r="L13" i="51"/>
  <c r="J13" i="51"/>
  <c r="H13" i="51"/>
  <c r="G13" i="51"/>
  <c r="F13" i="51"/>
  <c r="AA12" i="51"/>
  <c r="Z12" i="51"/>
  <c r="Y12" i="51"/>
  <c r="W12" i="51"/>
  <c r="U12" i="51"/>
  <c r="S12" i="51"/>
  <c r="Q12" i="51"/>
  <c r="P12" i="51"/>
  <c r="N12" i="51"/>
  <c r="L12" i="51"/>
  <c r="J12" i="51"/>
  <c r="H12" i="51"/>
  <c r="G12" i="51"/>
  <c r="F12" i="51"/>
  <c r="AA11" i="51"/>
  <c r="Z11" i="51"/>
  <c r="Y11" i="51"/>
  <c r="W11" i="51"/>
  <c r="U11" i="51"/>
  <c r="S11" i="51"/>
  <c r="Q11" i="51"/>
  <c r="P11" i="51"/>
  <c r="N11" i="51"/>
  <c r="L11" i="51"/>
  <c r="J11" i="51"/>
  <c r="H11" i="51"/>
  <c r="G11" i="51"/>
  <c r="F11" i="51"/>
  <c r="AA10" i="51"/>
  <c r="Z10" i="51"/>
  <c r="Y10" i="51"/>
  <c r="W10" i="51"/>
  <c r="U10" i="51"/>
  <c r="S10" i="51"/>
  <c r="Q10" i="51"/>
  <c r="P10" i="51"/>
  <c r="N10" i="51"/>
  <c r="L10" i="51"/>
  <c r="J10" i="51"/>
  <c r="H10" i="51"/>
  <c r="G10" i="51"/>
  <c r="F10" i="51"/>
  <c r="AA9" i="51"/>
  <c r="Z9" i="51"/>
  <c r="Y9" i="51"/>
  <c r="W9" i="51"/>
  <c r="U9" i="51"/>
  <c r="S9" i="51"/>
  <c r="Q9" i="51"/>
  <c r="P9" i="51"/>
  <c r="N9" i="51"/>
  <c r="L9" i="51"/>
  <c r="J9" i="51"/>
  <c r="H9" i="51"/>
  <c r="G9" i="51"/>
  <c r="F9" i="51"/>
  <c r="G98" i="50"/>
  <c r="C98" i="50"/>
  <c r="O97" i="50"/>
  <c r="K97" i="50"/>
  <c r="G97" i="50"/>
  <c r="C97" i="50"/>
  <c r="O96" i="50"/>
  <c r="K96" i="50"/>
  <c r="G96" i="50"/>
  <c r="C96" i="50"/>
  <c r="O95" i="50"/>
  <c r="K95" i="50"/>
  <c r="G95" i="50"/>
  <c r="C95" i="50"/>
  <c r="O94" i="50"/>
  <c r="K94" i="50"/>
  <c r="G94" i="50"/>
  <c r="C94" i="50"/>
  <c r="O93" i="50"/>
  <c r="K93" i="50"/>
  <c r="G93" i="50"/>
  <c r="C93" i="50"/>
  <c r="O92" i="50"/>
  <c r="K92" i="50"/>
  <c r="G92" i="50"/>
  <c r="C92" i="50"/>
  <c r="O91" i="50"/>
  <c r="K91" i="50"/>
  <c r="G91" i="50"/>
  <c r="C91" i="50"/>
  <c r="O90" i="50"/>
  <c r="K90" i="50"/>
  <c r="G90" i="50"/>
  <c r="C90" i="50"/>
  <c r="O89" i="50"/>
  <c r="K89" i="50"/>
  <c r="G89" i="50"/>
  <c r="C89" i="50"/>
  <c r="O88" i="50"/>
  <c r="K88" i="50"/>
  <c r="G88" i="50"/>
  <c r="C88" i="50"/>
  <c r="O87" i="50"/>
  <c r="K87" i="50"/>
  <c r="G87" i="50"/>
  <c r="C87" i="50"/>
  <c r="O86" i="50"/>
  <c r="K86" i="50"/>
  <c r="G86" i="50"/>
  <c r="C86" i="50"/>
  <c r="O85" i="50"/>
  <c r="K85" i="50"/>
  <c r="G85" i="50"/>
  <c r="C85" i="50"/>
  <c r="O84" i="50"/>
  <c r="K84" i="50"/>
  <c r="G84" i="50"/>
  <c r="C84" i="50"/>
  <c r="O83" i="50"/>
  <c r="K83" i="50"/>
  <c r="G83" i="50"/>
  <c r="C83" i="50"/>
  <c r="O82" i="50"/>
  <c r="K82" i="50"/>
  <c r="G82" i="50"/>
  <c r="C82" i="50"/>
  <c r="O81" i="50"/>
  <c r="K81" i="50"/>
  <c r="G81" i="50"/>
  <c r="C81" i="50"/>
  <c r="E75" i="50"/>
  <c r="D75" i="50"/>
  <c r="C75" i="50"/>
  <c r="F75" i="50" s="1"/>
  <c r="L74" i="50"/>
  <c r="K74" i="50"/>
  <c r="J74" i="50"/>
  <c r="M74" i="50" s="1"/>
  <c r="E74" i="50"/>
  <c r="D74" i="50"/>
  <c r="C74" i="50"/>
  <c r="F74" i="50" s="1"/>
  <c r="L73" i="50"/>
  <c r="K73" i="50"/>
  <c r="J73" i="50"/>
  <c r="M73" i="50" s="1"/>
  <c r="E73" i="50"/>
  <c r="D73" i="50"/>
  <c r="C73" i="50"/>
  <c r="F73" i="50" s="1"/>
  <c r="L72" i="50"/>
  <c r="K72" i="50"/>
  <c r="J72" i="50"/>
  <c r="M72" i="50" s="1"/>
  <c r="E72" i="50"/>
  <c r="D72" i="50"/>
  <c r="C72" i="50"/>
  <c r="F72" i="50" s="1"/>
  <c r="L71" i="50"/>
  <c r="K71" i="50"/>
  <c r="J71" i="50"/>
  <c r="M71" i="50" s="1"/>
  <c r="E71" i="50"/>
  <c r="D71" i="50"/>
  <c r="C71" i="50"/>
  <c r="F71" i="50" s="1"/>
  <c r="L70" i="50"/>
  <c r="K70" i="50"/>
  <c r="J70" i="50"/>
  <c r="M70" i="50" s="1"/>
  <c r="E70" i="50"/>
  <c r="D70" i="50"/>
  <c r="C70" i="50"/>
  <c r="F70" i="50" s="1"/>
  <c r="L69" i="50"/>
  <c r="K69" i="50"/>
  <c r="J69" i="50"/>
  <c r="M69" i="50" s="1"/>
  <c r="E69" i="50"/>
  <c r="D69" i="50"/>
  <c r="C69" i="50"/>
  <c r="F69" i="50" s="1"/>
  <c r="L68" i="50"/>
  <c r="K68" i="50"/>
  <c r="J68" i="50"/>
  <c r="M68" i="50" s="1"/>
  <c r="E68" i="50"/>
  <c r="D68" i="50"/>
  <c r="C68" i="50"/>
  <c r="F68" i="50" s="1"/>
  <c r="L67" i="50"/>
  <c r="K67" i="50"/>
  <c r="J67" i="50"/>
  <c r="M67" i="50" s="1"/>
  <c r="E67" i="50"/>
  <c r="D67" i="50"/>
  <c r="C67" i="50"/>
  <c r="F67" i="50" s="1"/>
  <c r="L66" i="50"/>
  <c r="K66" i="50"/>
  <c r="J66" i="50"/>
  <c r="M66" i="50" s="1"/>
  <c r="E66" i="50"/>
  <c r="D66" i="50"/>
  <c r="C66" i="50"/>
  <c r="F66" i="50" s="1"/>
  <c r="L65" i="50"/>
  <c r="K65" i="50"/>
  <c r="J65" i="50"/>
  <c r="M65" i="50" s="1"/>
  <c r="E65" i="50"/>
  <c r="D65" i="50"/>
  <c r="C65" i="50"/>
  <c r="F65" i="50" s="1"/>
  <c r="L64" i="50"/>
  <c r="K64" i="50"/>
  <c r="J64" i="50"/>
  <c r="M64" i="50" s="1"/>
  <c r="E64" i="50"/>
  <c r="D64" i="50"/>
  <c r="C64" i="50"/>
  <c r="F64" i="50" s="1"/>
  <c r="L63" i="50"/>
  <c r="K63" i="50"/>
  <c r="J63" i="50"/>
  <c r="M63" i="50" s="1"/>
  <c r="E63" i="50"/>
  <c r="D63" i="50"/>
  <c r="C63" i="50"/>
  <c r="F63" i="50" s="1"/>
  <c r="L62" i="50"/>
  <c r="K62" i="50"/>
  <c r="J62" i="50"/>
  <c r="M62" i="50" s="1"/>
  <c r="E62" i="50"/>
  <c r="D62" i="50"/>
  <c r="C62" i="50"/>
  <c r="F62" i="50" s="1"/>
  <c r="L61" i="50"/>
  <c r="K61" i="50"/>
  <c r="J61" i="50"/>
  <c r="M61" i="50" s="1"/>
  <c r="E61" i="50"/>
  <c r="D61" i="50"/>
  <c r="C61" i="50"/>
  <c r="F61" i="50" s="1"/>
  <c r="L60" i="50"/>
  <c r="K60" i="50"/>
  <c r="J60" i="50"/>
  <c r="M60" i="50" s="1"/>
  <c r="E60" i="50"/>
  <c r="D60" i="50"/>
  <c r="C60" i="50"/>
  <c r="F60" i="50" s="1"/>
  <c r="L59" i="50"/>
  <c r="K59" i="50"/>
  <c r="J59" i="50"/>
  <c r="M59" i="50" s="1"/>
  <c r="E59" i="50"/>
  <c r="D59" i="50"/>
  <c r="C59" i="50"/>
  <c r="F59" i="50" s="1"/>
  <c r="L58" i="50"/>
  <c r="K58" i="50"/>
  <c r="J58" i="50"/>
  <c r="M58" i="50" s="1"/>
  <c r="E58" i="50"/>
  <c r="D58" i="50"/>
  <c r="C58" i="50"/>
  <c r="F58" i="50" s="1"/>
  <c r="E53" i="50"/>
  <c r="D53" i="50"/>
  <c r="C53" i="50"/>
  <c r="F53" i="50" s="1"/>
  <c r="L52" i="50"/>
  <c r="K52" i="50"/>
  <c r="J52" i="50"/>
  <c r="M52" i="50" s="1"/>
  <c r="E52" i="50"/>
  <c r="D52" i="50"/>
  <c r="C52" i="50"/>
  <c r="F52" i="50" s="1"/>
  <c r="L51" i="50"/>
  <c r="K51" i="50"/>
  <c r="J51" i="50"/>
  <c r="M51" i="50" s="1"/>
  <c r="E51" i="50"/>
  <c r="D51" i="50"/>
  <c r="C51" i="50"/>
  <c r="F51" i="50" s="1"/>
  <c r="L50" i="50"/>
  <c r="K50" i="50"/>
  <c r="J50" i="50"/>
  <c r="M50" i="50" s="1"/>
  <c r="E50" i="50"/>
  <c r="D50" i="50"/>
  <c r="C50" i="50"/>
  <c r="F50" i="50" s="1"/>
  <c r="L49" i="50"/>
  <c r="K49" i="50"/>
  <c r="J49" i="50"/>
  <c r="M49" i="50" s="1"/>
  <c r="E49" i="50"/>
  <c r="D49" i="50"/>
  <c r="C49" i="50"/>
  <c r="F49" i="50" s="1"/>
  <c r="L48" i="50"/>
  <c r="K48" i="50"/>
  <c r="J48" i="50"/>
  <c r="M48" i="50" s="1"/>
  <c r="E48" i="50"/>
  <c r="D48" i="50"/>
  <c r="C48" i="50"/>
  <c r="F48" i="50" s="1"/>
  <c r="L47" i="50"/>
  <c r="K47" i="50"/>
  <c r="J47" i="50"/>
  <c r="M47" i="50" s="1"/>
  <c r="E47" i="50"/>
  <c r="D47" i="50"/>
  <c r="C47" i="50"/>
  <c r="F47" i="50" s="1"/>
  <c r="L46" i="50"/>
  <c r="K46" i="50"/>
  <c r="J46" i="50"/>
  <c r="M46" i="50" s="1"/>
  <c r="E46" i="50"/>
  <c r="D46" i="50"/>
  <c r="C46" i="50"/>
  <c r="F46" i="50" s="1"/>
  <c r="L45" i="50"/>
  <c r="K45" i="50"/>
  <c r="J45" i="50"/>
  <c r="M45" i="50" s="1"/>
  <c r="E45" i="50"/>
  <c r="D45" i="50"/>
  <c r="C45" i="50"/>
  <c r="F45" i="50" s="1"/>
  <c r="L44" i="50"/>
  <c r="K44" i="50"/>
  <c r="J44" i="50"/>
  <c r="M44" i="50" s="1"/>
  <c r="E44" i="50"/>
  <c r="D44" i="50"/>
  <c r="C44" i="50"/>
  <c r="F44" i="50" s="1"/>
  <c r="L43" i="50"/>
  <c r="K43" i="50"/>
  <c r="J43" i="50"/>
  <c r="M43" i="50" s="1"/>
  <c r="E43" i="50"/>
  <c r="D43" i="50"/>
  <c r="C43" i="50"/>
  <c r="F43" i="50" s="1"/>
  <c r="L42" i="50"/>
  <c r="K42" i="50"/>
  <c r="J42" i="50"/>
  <c r="M42" i="50" s="1"/>
  <c r="E42" i="50"/>
  <c r="D42" i="50"/>
  <c r="C42" i="50"/>
  <c r="F42" i="50" s="1"/>
  <c r="L41" i="50"/>
  <c r="K41" i="50"/>
  <c r="J41" i="50"/>
  <c r="M41" i="50" s="1"/>
  <c r="E41" i="50"/>
  <c r="D41" i="50"/>
  <c r="C41" i="50"/>
  <c r="F41" i="50" s="1"/>
  <c r="L40" i="50"/>
  <c r="K40" i="50"/>
  <c r="J40" i="50"/>
  <c r="M40" i="50" s="1"/>
  <c r="E40" i="50"/>
  <c r="D40" i="50"/>
  <c r="C40" i="50"/>
  <c r="F40" i="50" s="1"/>
  <c r="L39" i="50"/>
  <c r="K39" i="50"/>
  <c r="J39" i="50"/>
  <c r="M39" i="50" s="1"/>
  <c r="E39" i="50"/>
  <c r="D39" i="50"/>
  <c r="C39" i="50"/>
  <c r="F39" i="50" s="1"/>
  <c r="L38" i="50"/>
  <c r="K38" i="50"/>
  <c r="J38" i="50"/>
  <c r="M38" i="50" s="1"/>
  <c r="E38" i="50"/>
  <c r="D38" i="50"/>
  <c r="C38" i="50"/>
  <c r="F38" i="50" s="1"/>
  <c r="L37" i="50"/>
  <c r="K37" i="50"/>
  <c r="J37" i="50"/>
  <c r="M37" i="50" s="1"/>
  <c r="E37" i="50"/>
  <c r="D37" i="50"/>
  <c r="C37" i="50"/>
  <c r="F37" i="50" s="1"/>
  <c r="L36" i="50"/>
  <c r="K36" i="50"/>
  <c r="J36" i="50"/>
  <c r="M36" i="50" s="1"/>
  <c r="E36" i="50"/>
  <c r="D36" i="50"/>
  <c r="C36" i="50"/>
  <c r="F36" i="50" s="1"/>
  <c r="D27" i="50"/>
  <c r="C27" i="50"/>
  <c r="E27" i="50" s="1"/>
  <c r="K26" i="50"/>
  <c r="J26" i="50"/>
  <c r="L26" i="50" s="1"/>
  <c r="D26" i="50"/>
  <c r="C26" i="50"/>
  <c r="E26" i="50" s="1"/>
  <c r="K25" i="50"/>
  <c r="J25" i="50"/>
  <c r="L25" i="50" s="1"/>
  <c r="D25" i="50"/>
  <c r="C25" i="50"/>
  <c r="E25" i="50" s="1"/>
  <c r="K24" i="50"/>
  <c r="J24" i="50"/>
  <c r="L24" i="50" s="1"/>
  <c r="D24" i="50"/>
  <c r="C24" i="50"/>
  <c r="E24" i="50" s="1"/>
  <c r="K23" i="50"/>
  <c r="J23" i="50"/>
  <c r="L23" i="50" s="1"/>
  <c r="D23" i="50"/>
  <c r="C23" i="50"/>
  <c r="E23" i="50" s="1"/>
  <c r="K22" i="50"/>
  <c r="J22" i="50"/>
  <c r="L22" i="50" s="1"/>
  <c r="D22" i="50"/>
  <c r="C22" i="50"/>
  <c r="E22" i="50" s="1"/>
  <c r="K21" i="50"/>
  <c r="J21" i="50"/>
  <c r="L21" i="50" s="1"/>
  <c r="D21" i="50"/>
  <c r="C21" i="50"/>
  <c r="E21" i="50" s="1"/>
  <c r="K20" i="50"/>
  <c r="J20" i="50"/>
  <c r="L20" i="50" s="1"/>
  <c r="D20" i="50"/>
  <c r="C20" i="50"/>
  <c r="E20" i="50" s="1"/>
  <c r="K19" i="50"/>
  <c r="J19" i="50"/>
  <c r="L19" i="50" s="1"/>
  <c r="D19" i="50"/>
  <c r="C19" i="50"/>
  <c r="E19" i="50" s="1"/>
  <c r="K18" i="50"/>
  <c r="J18" i="50"/>
  <c r="L18" i="50" s="1"/>
  <c r="D18" i="50"/>
  <c r="C18" i="50"/>
  <c r="E18" i="50" s="1"/>
  <c r="K17" i="50"/>
  <c r="J17" i="50"/>
  <c r="L17" i="50" s="1"/>
  <c r="D17" i="50"/>
  <c r="C17" i="50"/>
  <c r="E17" i="50" s="1"/>
  <c r="K16" i="50"/>
  <c r="J16" i="50"/>
  <c r="L16" i="50" s="1"/>
  <c r="D16" i="50"/>
  <c r="C16" i="50"/>
  <c r="E16" i="50" s="1"/>
  <c r="K15" i="50"/>
  <c r="J15" i="50"/>
  <c r="L15" i="50" s="1"/>
  <c r="D15" i="50"/>
  <c r="C15" i="50"/>
  <c r="E15" i="50" s="1"/>
  <c r="K14" i="50"/>
  <c r="J14" i="50"/>
  <c r="L14" i="50" s="1"/>
  <c r="D14" i="50"/>
  <c r="C14" i="50"/>
  <c r="E14" i="50" s="1"/>
  <c r="K13" i="50"/>
  <c r="J13" i="50"/>
  <c r="L13" i="50" s="1"/>
  <c r="D13" i="50"/>
  <c r="C13" i="50"/>
  <c r="E13" i="50" s="1"/>
  <c r="K12" i="50"/>
  <c r="J12" i="50"/>
  <c r="L12" i="50" s="1"/>
  <c r="D12" i="50"/>
  <c r="C12" i="50"/>
  <c r="E12" i="50" s="1"/>
  <c r="K11" i="50"/>
  <c r="J11" i="50"/>
  <c r="L11" i="50" s="1"/>
  <c r="D11" i="50"/>
  <c r="C11" i="50"/>
  <c r="E11" i="50" s="1"/>
  <c r="K10" i="50"/>
  <c r="J10" i="50"/>
  <c r="L10" i="50" s="1"/>
  <c r="D10" i="50"/>
  <c r="C10" i="50"/>
  <c r="E10" i="50" s="1"/>
  <c r="O80" i="50"/>
  <c r="K80" i="50"/>
  <c r="G80" i="50"/>
  <c r="C80" i="50"/>
  <c r="G95" i="49"/>
  <c r="C90" i="49"/>
  <c r="O83" i="49"/>
  <c r="K83" i="49"/>
  <c r="G90" i="49"/>
  <c r="C85" i="49"/>
  <c r="O95" i="49"/>
  <c r="K94" i="49"/>
  <c r="G89" i="49"/>
  <c r="C93" i="49"/>
  <c r="O96" i="49"/>
  <c r="K93" i="49"/>
  <c r="G96" i="49"/>
  <c r="C94" i="49"/>
  <c r="O82" i="49"/>
  <c r="K82" i="49"/>
  <c r="G88" i="49"/>
  <c r="C84" i="49"/>
  <c r="O94" i="49"/>
  <c r="K91" i="49"/>
  <c r="G93" i="49"/>
  <c r="C95" i="49"/>
  <c r="O93" i="49"/>
  <c r="K90" i="49"/>
  <c r="G87" i="49"/>
  <c r="C87" i="49"/>
  <c r="O81" i="49"/>
  <c r="K81" i="49"/>
  <c r="G86" i="49"/>
  <c r="C89" i="49"/>
  <c r="O97" i="49"/>
  <c r="K96" i="49"/>
  <c r="G94" i="49"/>
  <c r="C92" i="49"/>
  <c r="O92" i="49"/>
  <c r="K89" i="49"/>
  <c r="G82" i="49"/>
  <c r="C82" i="49"/>
  <c r="O91" i="49"/>
  <c r="K97" i="49"/>
  <c r="G85" i="49"/>
  <c r="C86" i="49"/>
  <c r="O90" i="49"/>
  <c r="K88" i="49"/>
  <c r="G84" i="49"/>
  <c r="C83" i="49"/>
  <c r="O89" i="49"/>
  <c r="K87" i="49"/>
  <c r="G81" i="49"/>
  <c r="C81" i="49"/>
  <c r="O88" i="49"/>
  <c r="K86" i="49"/>
  <c r="G97" i="49"/>
  <c r="C98" i="49"/>
  <c r="O87" i="49"/>
  <c r="K95" i="49"/>
  <c r="G98" i="49"/>
  <c r="C97" i="49"/>
  <c r="O86" i="49"/>
  <c r="K85" i="49"/>
  <c r="G92" i="49"/>
  <c r="C96" i="49"/>
  <c r="O85" i="49"/>
  <c r="K92" i="49"/>
  <c r="G83" i="49"/>
  <c r="C91" i="49"/>
  <c r="O84" i="49"/>
  <c r="K84" i="49"/>
  <c r="G91" i="49"/>
  <c r="C88" i="49"/>
  <c r="E63" i="49"/>
  <c r="D63" i="49"/>
  <c r="C63" i="49"/>
  <c r="L72" i="49"/>
  <c r="K72" i="49"/>
  <c r="J72" i="49"/>
  <c r="E72" i="49"/>
  <c r="D72" i="49"/>
  <c r="C72" i="49"/>
  <c r="L68" i="49"/>
  <c r="K68" i="49"/>
  <c r="J68" i="49"/>
  <c r="E69" i="49"/>
  <c r="D69" i="49"/>
  <c r="C69" i="49"/>
  <c r="L67" i="49"/>
  <c r="K67" i="49"/>
  <c r="J67" i="49"/>
  <c r="E65" i="49"/>
  <c r="D65" i="49"/>
  <c r="C65" i="49"/>
  <c r="L59" i="49"/>
  <c r="K59" i="49"/>
  <c r="J59" i="49"/>
  <c r="M59" i="49" s="1"/>
  <c r="E70" i="49"/>
  <c r="D70" i="49"/>
  <c r="C70" i="49"/>
  <c r="L66" i="49"/>
  <c r="K66" i="49"/>
  <c r="J66" i="49"/>
  <c r="E67" i="49"/>
  <c r="D67" i="49"/>
  <c r="C67" i="49"/>
  <c r="L70" i="49"/>
  <c r="K70" i="49"/>
  <c r="J70" i="49"/>
  <c r="E73" i="49"/>
  <c r="D73" i="49"/>
  <c r="C73" i="49"/>
  <c r="L58" i="49"/>
  <c r="K58" i="49"/>
  <c r="J58" i="49"/>
  <c r="M58" i="49" s="1"/>
  <c r="E62" i="49"/>
  <c r="D62" i="49"/>
  <c r="C62" i="49"/>
  <c r="L65" i="49"/>
  <c r="K65" i="49"/>
  <c r="J65" i="49"/>
  <c r="E61" i="49"/>
  <c r="D61" i="49"/>
  <c r="C61" i="49"/>
  <c r="L69" i="49"/>
  <c r="K69" i="49"/>
  <c r="J69" i="49"/>
  <c r="E59" i="49"/>
  <c r="D59" i="49"/>
  <c r="C59" i="49"/>
  <c r="F59" i="49" s="1"/>
  <c r="L64" i="49"/>
  <c r="K64" i="49"/>
  <c r="J64" i="49"/>
  <c r="E71" i="49"/>
  <c r="D71" i="49"/>
  <c r="C71" i="49"/>
  <c r="L63" i="49"/>
  <c r="K63" i="49"/>
  <c r="J63" i="49"/>
  <c r="E68" i="49"/>
  <c r="D68" i="49"/>
  <c r="C68" i="49"/>
  <c r="L71" i="49"/>
  <c r="K71" i="49"/>
  <c r="J71" i="49"/>
  <c r="E58" i="49"/>
  <c r="D58" i="49"/>
  <c r="C58" i="49"/>
  <c r="F58" i="49" s="1"/>
  <c r="L62" i="49"/>
  <c r="K62" i="49"/>
  <c r="J62" i="49"/>
  <c r="E64" i="49"/>
  <c r="D64" i="49"/>
  <c r="C64" i="49"/>
  <c r="L61" i="49"/>
  <c r="K61" i="49"/>
  <c r="J61" i="49"/>
  <c r="E66" i="49"/>
  <c r="D66" i="49"/>
  <c r="C66" i="49"/>
  <c r="L73" i="49"/>
  <c r="K73" i="49"/>
  <c r="J73" i="49"/>
  <c r="E75" i="49"/>
  <c r="D75" i="49"/>
  <c r="C75" i="49"/>
  <c r="L60" i="49"/>
  <c r="K60" i="49"/>
  <c r="J60" i="49"/>
  <c r="E60" i="49"/>
  <c r="D60" i="49"/>
  <c r="C60" i="49"/>
  <c r="L74" i="49"/>
  <c r="K74" i="49"/>
  <c r="J74" i="49"/>
  <c r="E74" i="49"/>
  <c r="D74" i="49"/>
  <c r="C74" i="49"/>
  <c r="E40" i="49"/>
  <c r="D40" i="49"/>
  <c r="C40" i="49"/>
  <c r="L46" i="49"/>
  <c r="K46" i="49"/>
  <c r="J46" i="49"/>
  <c r="E49" i="49"/>
  <c r="D49" i="49"/>
  <c r="C49" i="49"/>
  <c r="L43" i="49"/>
  <c r="K43" i="49"/>
  <c r="J43" i="49"/>
  <c r="E47" i="49"/>
  <c r="D47" i="49"/>
  <c r="C47" i="49"/>
  <c r="L42" i="49"/>
  <c r="K42" i="49"/>
  <c r="J42" i="49"/>
  <c r="E39" i="49"/>
  <c r="D39" i="49"/>
  <c r="C39" i="49"/>
  <c r="L37" i="49"/>
  <c r="K37" i="49"/>
  <c r="J37" i="49"/>
  <c r="M37" i="49" s="1"/>
  <c r="E51" i="49"/>
  <c r="D51" i="49"/>
  <c r="C51" i="49"/>
  <c r="L51" i="49"/>
  <c r="K51" i="49"/>
  <c r="J51" i="49"/>
  <c r="E50" i="49"/>
  <c r="D50" i="49"/>
  <c r="C50" i="49"/>
  <c r="L48" i="49"/>
  <c r="K48" i="49"/>
  <c r="J48" i="49"/>
  <c r="E46" i="49"/>
  <c r="D46" i="49"/>
  <c r="C46" i="49"/>
  <c r="L36" i="49"/>
  <c r="K36" i="49"/>
  <c r="J36" i="49"/>
  <c r="M36" i="49" s="1"/>
  <c r="E53" i="49"/>
  <c r="D53" i="49"/>
  <c r="C53" i="49"/>
  <c r="L52" i="49"/>
  <c r="K52" i="49"/>
  <c r="J52" i="49"/>
  <c r="E43" i="49"/>
  <c r="D43" i="49"/>
  <c r="C43" i="49"/>
  <c r="L47" i="49"/>
  <c r="K47" i="49"/>
  <c r="J47" i="49"/>
  <c r="E37" i="49"/>
  <c r="D37" i="49"/>
  <c r="C37" i="49"/>
  <c r="F37" i="49" s="1"/>
  <c r="L50" i="49"/>
  <c r="K50" i="49"/>
  <c r="J50" i="49"/>
  <c r="E45" i="49"/>
  <c r="D45" i="49"/>
  <c r="C45" i="49"/>
  <c r="L44" i="49"/>
  <c r="K44" i="49"/>
  <c r="J44" i="49"/>
  <c r="E42" i="49"/>
  <c r="D42" i="49"/>
  <c r="C42" i="49"/>
  <c r="L41" i="49"/>
  <c r="K41" i="49"/>
  <c r="J41" i="49"/>
  <c r="E36" i="49"/>
  <c r="D36" i="49"/>
  <c r="C36" i="49"/>
  <c r="F36" i="49" s="1"/>
  <c r="L40" i="49"/>
  <c r="K40" i="49"/>
  <c r="J40" i="49"/>
  <c r="E44" i="49"/>
  <c r="D44" i="49"/>
  <c r="C44" i="49"/>
  <c r="L39" i="49"/>
  <c r="K39" i="49"/>
  <c r="J39" i="49"/>
  <c r="E41" i="49"/>
  <c r="D41" i="49"/>
  <c r="C41" i="49"/>
  <c r="L38" i="49"/>
  <c r="K38" i="49"/>
  <c r="J38" i="49"/>
  <c r="E38" i="49"/>
  <c r="D38" i="49"/>
  <c r="C38" i="49"/>
  <c r="L49" i="49"/>
  <c r="K49" i="49"/>
  <c r="J49" i="49"/>
  <c r="E52" i="49"/>
  <c r="D52" i="49"/>
  <c r="C52" i="49"/>
  <c r="L45" i="49"/>
  <c r="K45" i="49"/>
  <c r="J45" i="49"/>
  <c r="E48" i="49"/>
  <c r="D48" i="49"/>
  <c r="C48" i="49"/>
  <c r="D17" i="49"/>
  <c r="C17" i="49"/>
  <c r="K12" i="49"/>
  <c r="J12" i="49"/>
  <c r="D14" i="49"/>
  <c r="C14" i="49"/>
  <c r="K20" i="49"/>
  <c r="J20" i="49"/>
  <c r="D26" i="49"/>
  <c r="C26" i="49"/>
  <c r="K21" i="49"/>
  <c r="J21" i="49"/>
  <c r="D13" i="49"/>
  <c r="C13" i="49"/>
  <c r="K11" i="49"/>
  <c r="J11" i="49"/>
  <c r="L11" i="49" s="1"/>
  <c r="D21" i="49"/>
  <c r="C21" i="49"/>
  <c r="K26" i="49"/>
  <c r="J26" i="49"/>
  <c r="D12" i="49"/>
  <c r="C12" i="49"/>
  <c r="K23" i="49"/>
  <c r="J23" i="49"/>
  <c r="D18" i="49"/>
  <c r="C18" i="49"/>
  <c r="K10" i="49"/>
  <c r="J10" i="49"/>
  <c r="L10" i="49" s="1"/>
  <c r="D27" i="49"/>
  <c r="C27" i="49"/>
  <c r="K24" i="49"/>
  <c r="J24" i="49"/>
  <c r="D25" i="49"/>
  <c r="C25" i="49"/>
  <c r="K25" i="49"/>
  <c r="J25" i="49"/>
  <c r="D11" i="49"/>
  <c r="C11" i="49"/>
  <c r="E11" i="49" s="1"/>
  <c r="K19" i="49"/>
  <c r="J19" i="49"/>
  <c r="D16" i="49"/>
  <c r="C16" i="49"/>
  <c r="K18" i="49"/>
  <c r="J18" i="49"/>
  <c r="D23" i="49"/>
  <c r="C23" i="49"/>
  <c r="K17" i="49"/>
  <c r="J17" i="49"/>
  <c r="D10" i="49"/>
  <c r="C10" i="49"/>
  <c r="E10" i="49" s="1"/>
  <c r="K16" i="49"/>
  <c r="J16" i="49"/>
  <c r="D20" i="49"/>
  <c r="C20" i="49"/>
  <c r="K15" i="49"/>
  <c r="J15" i="49"/>
  <c r="D19" i="49"/>
  <c r="C19" i="49"/>
  <c r="K14" i="49"/>
  <c r="J14" i="49"/>
  <c r="D15" i="49"/>
  <c r="C15" i="49"/>
  <c r="K22" i="49"/>
  <c r="J22" i="49"/>
  <c r="D24" i="49"/>
  <c r="C24" i="49"/>
  <c r="K13" i="49"/>
  <c r="J13" i="49"/>
  <c r="D22" i="49"/>
  <c r="C22" i="49"/>
  <c r="O80" i="49"/>
  <c r="K80" i="49"/>
  <c r="G80" i="49"/>
  <c r="C80" i="49"/>
  <c r="G95" i="48"/>
  <c r="C94" i="48"/>
  <c r="O84" i="48"/>
  <c r="K84" i="48"/>
  <c r="G90" i="48"/>
  <c r="C87" i="48"/>
  <c r="O97" i="48"/>
  <c r="K94" i="48"/>
  <c r="G94" i="48"/>
  <c r="C92" i="48"/>
  <c r="O96" i="48"/>
  <c r="K92" i="48"/>
  <c r="G89" i="48"/>
  <c r="C86" i="48"/>
  <c r="O83" i="48"/>
  <c r="K83" i="48"/>
  <c r="G83" i="48"/>
  <c r="C83" i="48"/>
  <c r="O95" i="48"/>
  <c r="K93" i="48"/>
  <c r="G82" i="48"/>
  <c r="C82" i="48"/>
  <c r="O94" i="48"/>
  <c r="K91" i="48"/>
  <c r="G93" i="48"/>
  <c r="C91" i="48"/>
  <c r="O82" i="48"/>
  <c r="K82" i="48"/>
  <c r="G88" i="48"/>
  <c r="C93" i="48"/>
  <c r="O85" i="48"/>
  <c r="K97" i="48"/>
  <c r="G92" i="48"/>
  <c r="C88" i="48"/>
  <c r="O93" i="48"/>
  <c r="K90" i="48"/>
  <c r="G81" i="48"/>
  <c r="C81" i="48"/>
  <c r="O92" i="48"/>
  <c r="K89" i="48"/>
  <c r="G87" i="48"/>
  <c r="C89" i="48"/>
  <c r="O91" i="48"/>
  <c r="K88" i="48"/>
  <c r="G86" i="48"/>
  <c r="C85" i="48"/>
  <c r="O81" i="48"/>
  <c r="K81" i="48"/>
  <c r="G85" i="48"/>
  <c r="C84" i="48"/>
  <c r="O90" i="48"/>
  <c r="K87" i="48"/>
  <c r="G97" i="48"/>
  <c r="C97" i="48"/>
  <c r="O89" i="48"/>
  <c r="K95" i="48"/>
  <c r="G98" i="48"/>
  <c r="C98" i="48"/>
  <c r="O88" i="48"/>
  <c r="K86" i="48"/>
  <c r="G91" i="48"/>
  <c r="C95" i="48"/>
  <c r="O87" i="48"/>
  <c r="K96" i="48"/>
  <c r="G84" i="48"/>
  <c r="C90" i="48"/>
  <c r="O86" i="48"/>
  <c r="K85" i="48"/>
  <c r="G96" i="48"/>
  <c r="C96" i="48"/>
  <c r="E66" i="48"/>
  <c r="D66" i="48"/>
  <c r="C66" i="48"/>
  <c r="F66" i="48" s="1"/>
  <c r="L61" i="48"/>
  <c r="K61" i="48"/>
  <c r="J61" i="48"/>
  <c r="E73" i="48"/>
  <c r="D73" i="48"/>
  <c r="C73" i="48"/>
  <c r="L70" i="48"/>
  <c r="K70" i="48"/>
  <c r="J70" i="48"/>
  <c r="E70" i="48"/>
  <c r="D70" i="48"/>
  <c r="C70" i="48"/>
  <c r="L69" i="48"/>
  <c r="K69" i="48"/>
  <c r="J69" i="48"/>
  <c r="E68" i="48"/>
  <c r="D68" i="48"/>
  <c r="C68" i="48"/>
  <c r="L60" i="48"/>
  <c r="K60" i="48"/>
  <c r="J60" i="48"/>
  <c r="M60" i="48" s="1"/>
  <c r="E60" i="48"/>
  <c r="D60" i="48"/>
  <c r="C60" i="48"/>
  <c r="F60" i="48" s="1"/>
  <c r="L68" i="48"/>
  <c r="K68" i="48"/>
  <c r="J68" i="48"/>
  <c r="E59" i="48"/>
  <c r="D59" i="48"/>
  <c r="C59" i="48"/>
  <c r="F59" i="48" s="1"/>
  <c r="L71" i="48"/>
  <c r="K71" i="48"/>
  <c r="J71" i="48"/>
  <c r="E72" i="48"/>
  <c r="D72" i="48"/>
  <c r="C72" i="48"/>
  <c r="L59" i="48"/>
  <c r="K59" i="48"/>
  <c r="J59" i="48"/>
  <c r="M59" i="48" s="1"/>
  <c r="E63" i="48"/>
  <c r="D63" i="48"/>
  <c r="C63" i="48"/>
  <c r="L62" i="48"/>
  <c r="K62" i="48"/>
  <c r="J62" i="48"/>
  <c r="E62" i="48"/>
  <c r="D62" i="48"/>
  <c r="C62" i="48"/>
  <c r="L72" i="48"/>
  <c r="K72" i="48"/>
  <c r="J72" i="48"/>
  <c r="E58" i="48"/>
  <c r="D58" i="48"/>
  <c r="C58" i="48"/>
  <c r="F58" i="48" s="1"/>
  <c r="L67" i="48"/>
  <c r="K67" i="48"/>
  <c r="J67" i="48"/>
  <c r="E71" i="48"/>
  <c r="D71" i="48"/>
  <c r="C71" i="48"/>
  <c r="L66" i="48"/>
  <c r="K66" i="48"/>
  <c r="J66" i="48"/>
  <c r="E67" i="48"/>
  <c r="D67" i="48"/>
  <c r="C67" i="48"/>
  <c r="L58" i="48"/>
  <c r="K58" i="48"/>
  <c r="J58" i="48"/>
  <c r="M58" i="48" s="1"/>
  <c r="E69" i="48"/>
  <c r="D69" i="48"/>
  <c r="C69" i="48"/>
  <c r="F69" i="48" s="1"/>
  <c r="L65" i="48"/>
  <c r="K65" i="48"/>
  <c r="J65" i="48"/>
  <c r="E64" i="48"/>
  <c r="D64" i="48"/>
  <c r="C64" i="48"/>
  <c r="L64" i="48"/>
  <c r="K64" i="48"/>
  <c r="J64" i="48"/>
  <c r="E65" i="48"/>
  <c r="D65" i="48"/>
  <c r="C65" i="48"/>
  <c r="L74" i="48"/>
  <c r="K74" i="48"/>
  <c r="J74" i="48"/>
  <c r="E74" i="48"/>
  <c r="D74" i="48"/>
  <c r="C74" i="48"/>
  <c r="L63" i="48"/>
  <c r="K63" i="48"/>
  <c r="J63" i="48"/>
  <c r="E61" i="48"/>
  <c r="D61" i="48"/>
  <c r="C61" i="48"/>
  <c r="L73" i="48"/>
  <c r="K73" i="48"/>
  <c r="J73" i="48"/>
  <c r="E75" i="48"/>
  <c r="D75" i="48"/>
  <c r="C75" i="48"/>
  <c r="E43" i="48"/>
  <c r="D43" i="48"/>
  <c r="C43" i="48"/>
  <c r="L39" i="48"/>
  <c r="K39" i="48"/>
  <c r="J39" i="48"/>
  <c r="E49" i="48"/>
  <c r="D49" i="48"/>
  <c r="C49" i="48"/>
  <c r="L45" i="48"/>
  <c r="K45" i="48"/>
  <c r="J45" i="48"/>
  <c r="E48" i="48"/>
  <c r="D48" i="48"/>
  <c r="C48" i="48"/>
  <c r="L44" i="48"/>
  <c r="K44" i="48"/>
  <c r="J44" i="48"/>
  <c r="E42" i="48"/>
  <c r="D42" i="48"/>
  <c r="C42" i="48"/>
  <c r="L38" i="48"/>
  <c r="K38" i="48"/>
  <c r="J38" i="48"/>
  <c r="M38" i="48" s="1"/>
  <c r="E38" i="48"/>
  <c r="D38" i="48"/>
  <c r="C38" i="48"/>
  <c r="F38" i="48" s="1"/>
  <c r="L52" i="48"/>
  <c r="K52" i="48"/>
  <c r="J52" i="48"/>
  <c r="E37" i="48"/>
  <c r="D37" i="48"/>
  <c r="C37" i="48"/>
  <c r="F37" i="48" s="1"/>
  <c r="L49" i="48"/>
  <c r="K49" i="48"/>
  <c r="J49" i="48"/>
  <c r="E50" i="48"/>
  <c r="D50" i="48"/>
  <c r="C50" i="48"/>
  <c r="L37" i="48"/>
  <c r="K37" i="48"/>
  <c r="J37" i="48"/>
  <c r="M37" i="48" s="1"/>
  <c r="E53" i="48"/>
  <c r="D53" i="48"/>
  <c r="C53" i="48"/>
  <c r="L51" i="48"/>
  <c r="K51" i="48"/>
  <c r="J51" i="48"/>
  <c r="E45" i="48"/>
  <c r="D45" i="48"/>
  <c r="C45" i="48"/>
  <c r="L48" i="48"/>
  <c r="K48" i="48"/>
  <c r="J48" i="48"/>
  <c r="E36" i="48"/>
  <c r="D36" i="48"/>
  <c r="C36" i="48"/>
  <c r="F36" i="48" s="1"/>
  <c r="L50" i="48"/>
  <c r="K50" i="48"/>
  <c r="J50" i="48"/>
  <c r="E47" i="48"/>
  <c r="D47" i="48"/>
  <c r="C47" i="48"/>
  <c r="L46" i="48"/>
  <c r="K46" i="48"/>
  <c r="J46" i="48"/>
  <c r="E44" i="48"/>
  <c r="D44" i="48"/>
  <c r="C44" i="48"/>
  <c r="L36" i="48"/>
  <c r="K36" i="48"/>
  <c r="J36" i="48"/>
  <c r="M36" i="48" s="1"/>
  <c r="E41" i="48"/>
  <c r="D41" i="48"/>
  <c r="C41" i="48"/>
  <c r="L43" i="48"/>
  <c r="K43" i="48"/>
  <c r="J43" i="48"/>
  <c r="E46" i="48"/>
  <c r="D46" i="48"/>
  <c r="C46" i="48"/>
  <c r="L42" i="48"/>
  <c r="K42" i="48"/>
  <c r="J42" i="48"/>
  <c r="E40" i="48"/>
  <c r="D40" i="48"/>
  <c r="C40" i="48"/>
  <c r="L41" i="48"/>
  <c r="K41" i="48"/>
  <c r="J41" i="48"/>
  <c r="E39" i="48"/>
  <c r="D39" i="48"/>
  <c r="C39" i="48"/>
  <c r="L47" i="48"/>
  <c r="K47" i="48"/>
  <c r="J47" i="48"/>
  <c r="E52" i="48"/>
  <c r="D52" i="48"/>
  <c r="C52" i="48"/>
  <c r="L40" i="48"/>
  <c r="K40" i="48"/>
  <c r="J40" i="48"/>
  <c r="E51" i="48"/>
  <c r="D51" i="48"/>
  <c r="C51" i="48"/>
  <c r="D17" i="48"/>
  <c r="C17" i="48"/>
  <c r="K13" i="48"/>
  <c r="J13" i="48"/>
  <c r="L13" i="48" s="1"/>
  <c r="D15" i="48"/>
  <c r="C15" i="48"/>
  <c r="K21" i="48"/>
  <c r="J21" i="48"/>
  <c r="D25" i="48"/>
  <c r="C25" i="48"/>
  <c r="K19" i="48"/>
  <c r="J19" i="48"/>
  <c r="L19" i="48" s="1"/>
  <c r="D14" i="48"/>
  <c r="C14" i="48"/>
  <c r="K12" i="48"/>
  <c r="J12" i="48"/>
  <c r="L12" i="48" s="1"/>
  <c r="D12" i="48"/>
  <c r="C12" i="48"/>
  <c r="E12" i="48" s="1"/>
  <c r="K26" i="48"/>
  <c r="J26" i="48"/>
  <c r="D11" i="48"/>
  <c r="C11" i="48"/>
  <c r="E11" i="48" s="1"/>
  <c r="K22" i="48"/>
  <c r="J22" i="48"/>
  <c r="D21" i="48"/>
  <c r="C21" i="48"/>
  <c r="K11" i="48"/>
  <c r="J11" i="48"/>
  <c r="L11" i="48" s="1"/>
  <c r="D27" i="48"/>
  <c r="C27" i="48"/>
  <c r="K25" i="48"/>
  <c r="J25" i="48"/>
  <c r="L25" i="48" s="1"/>
  <c r="D24" i="48"/>
  <c r="C24" i="48"/>
  <c r="K24" i="48"/>
  <c r="J24" i="48"/>
  <c r="D10" i="48"/>
  <c r="C10" i="48"/>
  <c r="E10" i="48" s="1"/>
  <c r="K20" i="48"/>
  <c r="J20" i="48"/>
  <c r="D16" i="48"/>
  <c r="C16" i="48"/>
  <c r="K18" i="48"/>
  <c r="J18" i="48"/>
  <c r="L18" i="48" s="1"/>
  <c r="D22" i="48"/>
  <c r="C22" i="48"/>
  <c r="K10" i="48"/>
  <c r="J10" i="48"/>
  <c r="L10" i="48" s="1"/>
  <c r="D26" i="48"/>
  <c r="C26" i="48"/>
  <c r="K17" i="48"/>
  <c r="J17" i="48"/>
  <c r="D19" i="48"/>
  <c r="C19" i="48"/>
  <c r="K16" i="48"/>
  <c r="J16" i="48"/>
  <c r="D18" i="48"/>
  <c r="C18" i="48"/>
  <c r="E18" i="48" s="1"/>
  <c r="K15" i="48"/>
  <c r="J15" i="48"/>
  <c r="D13" i="48"/>
  <c r="C13" i="48"/>
  <c r="E13" i="48" s="1"/>
  <c r="K23" i="48"/>
  <c r="J23" i="48"/>
  <c r="D20" i="48"/>
  <c r="C20" i="48"/>
  <c r="K14" i="48"/>
  <c r="J14" i="48"/>
  <c r="D23" i="48"/>
  <c r="C23" i="48"/>
  <c r="O80" i="48"/>
  <c r="K80" i="48"/>
  <c r="G80" i="48"/>
  <c r="C80" i="48"/>
  <c r="K9" i="54" l="1"/>
  <c r="M13" i="54"/>
  <c r="R8" i="54"/>
  <c r="R16" i="54"/>
  <c r="M10" i="54"/>
  <c r="X13" i="54"/>
  <c r="M14" i="54"/>
  <c r="X17" i="54"/>
  <c r="M18" i="54"/>
  <c r="I21" i="54"/>
  <c r="X21" i="54"/>
  <c r="M22" i="54"/>
  <c r="F63" i="49"/>
  <c r="I11" i="54"/>
  <c r="I15" i="54"/>
  <c r="R9" i="54"/>
  <c r="R13" i="54"/>
  <c r="R17" i="54"/>
  <c r="R21" i="54"/>
  <c r="R25" i="54"/>
  <c r="I10" i="54"/>
  <c r="I14" i="54"/>
  <c r="I18" i="54"/>
  <c r="I22" i="54"/>
  <c r="E23" i="49"/>
  <c r="E13" i="49"/>
  <c r="E14" i="49"/>
  <c r="X25" i="54"/>
  <c r="L14" i="49"/>
  <c r="L18" i="49"/>
  <c r="L21" i="49"/>
  <c r="L12" i="49"/>
  <c r="M72" i="49"/>
  <c r="M43" i="49"/>
  <c r="R12" i="52"/>
  <c r="R16" i="52"/>
  <c r="R22" i="52"/>
  <c r="L20" i="49"/>
  <c r="I21" i="52"/>
  <c r="M46" i="49"/>
  <c r="M63" i="49"/>
  <c r="M67" i="49"/>
  <c r="F42" i="49"/>
  <c r="F68" i="49"/>
  <c r="M44" i="49"/>
  <c r="E17" i="49"/>
  <c r="F40" i="49"/>
  <c r="F39" i="49"/>
  <c r="E26" i="49"/>
  <c r="F49" i="49"/>
  <c r="F72" i="49"/>
  <c r="M68" i="49"/>
  <c r="F47" i="49"/>
  <c r="F69" i="49"/>
  <c r="M42" i="49"/>
  <c r="F65" i="49"/>
  <c r="F71" i="49"/>
  <c r="E19" i="49"/>
  <c r="E16" i="49"/>
  <c r="F45" i="49"/>
  <c r="M50" i="49"/>
  <c r="M64" i="49"/>
  <c r="L15" i="49"/>
  <c r="L19" i="49"/>
  <c r="M73" i="49"/>
  <c r="F75" i="49"/>
  <c r="X22" i="53"/>
  <c r="E22" i="49"/>
  <c r="E15" i="49"/>
  <c r="E20" i="49"/>
  <c r="E27" i="49"/>
  <c r="E12" i="49"/>
  <c r="F41" i="49"/>
  <c r="F66" i="49"/>
  <c r="M39" i="49"/>
  <c r="M61" i="49"/>
  <c r="F73" i="49"/>
  <c r="F38" i="49"/>
  <c r="F60" i="49"/>
  <c r="F70" i="49"/>
  <c r="M38" i="49"/>
  <c r="E24" i="49"/>
  <c r="E25" i="49"/>
  <c r="E18" i="49"/>
  <c r="F44" i="49"/>
  <c r="F64" i="49"/>
  <c r="M49" i="49"/>
  <c r="M41" i="49"/>
  <c r="L13" i="49"/>
  <c r="L16" i="49"/>
  <c r="L25" i="49"/>
  <c r="L26" i="49"/>
  <c r="M62" i="49"/>
  <c r="M66" i="49"/>
  <c r="M40" i="49"/>
  <c r="O20" i="53"/>
  <c r="R25" i="53"/>
  <c r="E21" i="49"/>
  <c r="F51" i="49"/>
  <c r="M48" i="49"/>
  <c r="M51" i="49"/>
  <c r="F50" i="49"/>
  <c r="F67" i="49"/>
  <c r="O8" i="53"/>
  <c r="R11" i="53"/>
  <c r="R15" i="53"/>
  <c r="R19" i="53"/>
  <c r="R23" i="53"/>
  <c r="I8" i="53"/>
  <c r="T11" i="53"/>
  <c r="I12" i="53"/>
  <c r="I16" i="53"/>
  <c r="I20" i="53"/>
  <c r="I24" i="53"/>
  <c r="K8" i="53"/>
  <c r="R10" i="53"/>
  <c r="R14" i="53"/>
  <c r="R18" i="53"/>
  <c r="K20" i="53"/>
  <c r="V23" i="53"/>
  <c r="K24" i="53"/>
  <c r="R24" i="53"/>
  <c r="X15" i="53"/>
  <c r="X19" i="53"/>
  <c r="X23" i="53"/>
  <c r="M70" i="49"/>
  <c r="L23" i="49"/>
  <c r="L22" i="49"/>
  <c r="L17" i="49"/>
  <c r="M71" i="49"/>
  <c r="F52" i="49"/>
  <c r="F46" i="49"/>
  <c r="M23" i="53"/>
  <c r="M8" i="53"/>
  <c r="M24" i="53"/>
  <c r="M60" i="49"/>
  <c r="F53" i="49"/>
  <c r="F62" i="49"/>
  <c r="I9" i="53"/>
  <c r="I13" i="53"/>
  <c r="M14" i="53"/>
  <c r="I17" i="53"/>
  <c r="O19" i="53"/>
  <c r="I21" i="53"/>
  <c r="V17" i="53"/>
  <c r="T10" i="53"/>
  <c r="T14" i="53"/>
  <c r="T22" i="53"/>
  <c r="L24" i="49"/>
  <c r="M52" i="49"/>
  <c r="M65" i="49"/>
  <c r="F43" i="49"/>
  <c r="F61" i="49"/>
  <c r="X21" i="53"/>
  <c r="T24" i="53"/>
  <c r="X25" i="53"/>
  <c r="O9" i="53"/>
  <c r="K13" i="53"/>
  <c r="K17" i="53"/>
  <c r="O21" i="53"/>
  <c r="I19" i="51"/>
  <c r="I23" i="51"/>
  <c r="M47" i="49"/>
  <c r="M69" i="49"/>
  <c r="F48" i="49"/>
  <c r="F74" i="49"/>
  <c r="R13" i="53"/>
  <c r="R17" i="53"/>
  <c r="I19" i="53"/>
  <c r="I23" i="53"/>
  <c r="M45" i="49"/>
  <c r="M74" i="49"/>
  <c r="I16" i="51"/>
  <c r="M62" i="48"/>
  <c r="M51" i="48"/>
  <c r="F73" i="48"/>
  <c r="F48" i="48"/>
  <c r="L16" i="48"/>
  <c r="L20" i="48"/>
  <c r="E22" i="48"/>
  <c r="E15" i="48"/>
  <c r="F44" i="48"/>
  <c r="F67" i="48"/>
  <c r="M45" i="48"/>
  <c r="M46" i="48"/>
  <c r="L21" i="48"/>
  <c r="M66" i="48"/>
  <c r="E17" i="48"/>
  <c r="F43" i="48"/>
  <c r="F65" i="48"/>
  <c r="F71" i="48"/>
  <c r="E20" i="48"/>
  <c r="E26" i="48"/>
  <c r="E16" i="48"/>
  <c r="F49" i="48"/>
  <c r="M70" i="48"/>
  <c r="M69" i="48"/>
  <c r="E19" i="48"/>
  <c r="F70" i="48"/>
  <c r="E25" i="48"/>
  <c r="M50" i="48"/>
  <c r="M44" i="48"/>
  <c r="F42" i="48"/>
  <c r="F68" i="48"/>
  <c r="E14" i="48"/>
  <c r="F40" i="48"/>
  <c r="F47" i="48"/>
  <c r="M67" i="48"/>
  <c r="F46" i="48"/>
  <c r="M42" i="48"/>
  <c r="M64" i="48"/>
  <c r="F39" i="48"/>
  <c r="F74" i="48"/>
  <c r="F64" i="48"/>
  <c r="L15" i="48"/>
  <c r="M41" i="48"/>
  <c r="L22" i="48"/>
  <c r="M74" i="48"/>
  <c r="F72" i="48"/>
  <c r="M43" i="48"/>
  <c r="L17" i="48"/>
  <c r="L26" i="48"/>
  <c r="M65" i="48"/>
  <c r="M68" i="48"/>
  <c r="M52" i="48"/>
  <c r="M40" i="48"/>
  <c r="M48" i="48"/>
  <c r="M49" i="48"/>
  <c r="M71" i="48"/>
  <c r="E21" i="48"/>
  <c r="F41" i="48"/>
  <c r="F50" i="48"/>
  <c r="C111" i="48"/>
  <c r="F52" i="48"/>
  <c r="F62" i="48"/>
  <c r="F61" i="48"/>
  <c r="L23" i="48"/>
  <c r="M47" i="48"/>
  <c r="M63" i="48"/>
  <c r="F53" i="48"/>
  <c r="F63" i="48"/>
  <c r="E23" i="48"/>
  <c r="E27" i="48"/>
  <c r="E24" i="48"/>
  <c r="F45" i="48"/>
  <c r="F51" i="48"/>
  <c r="L24" i="48"/>
  <c r="M72" i="48"/>
  <c r="L14" i="48"/>
  <c r="M73" i="48"/>
  <c r="F75" i="48"/>
  <c r="B104" i="50"/>
  <c r="O24" i="53"/>
  <c r="T19" i="54"/>
  <c r="I25" i="53"/>
  <c r="X24" i="52"/>
  <c r="V16" i="54"/>
  <c r="X23" i="51"/>
  <c r="O14" i="54"/>
  <c r="T15" i="54"/>
  <c r="T23" i="54"/>
  <c r="M24" i="51"/>
  <c r="X17" i="51"/>
  <c r="K24" i="52"/>
  <c r="K10" i="51"/>
  <c r="K18" i="51"/>
  <c r="O18" i="54"/>
  <c r="M22" i="51"/>
  <c r="T16" i="52"/>
  <c r="T20" i="52"/>
  <c r="T24" i="52"/>
  <c r="O22" i="54"/>
  <c r="O11" i="51"/>
  <c r="V15" i="51"/>
  <c r="V17" i="51"/>
  <c r="V20" i="51"/>
  <c r="T22" i="51"/>
  <c r="V8" i="52"/>
  <c r="V9" i="52"/>
  <c r="V10" i="52"/>
  <c r="V12" i="52"/>
  <c r="V13" i="52"/>
  <c r="V14" i="52"/>
  <c r="V16" i="52"/>
  <c r="V17" i="52"/>
  <c r="V18" i="52"/>
  <c r="V19" i="52"/>
  <c r="O20" i="52"/>
  <c r="V20" i="52"/>
  <c r="V21" i="52"/>
  <c r="O22" i="52"/>
  <c r="V22" i="52"/>
  <c r="V23" i="52"/>
  <c r="O24" i="52"/>
  <c r="V24" i="52"/>
  <c r="K14" i="52"/>
  <c r="K16" i="52"/>
  <c r="K18" i="52"/>
  <c r="V10" i="54"/>
  <c r="V12" i="54"/>
  <c r="V14" i="54"/>
  <c r="V15" i="54"/>
  <c r="V18" i="54"/>
  <c r="V19" i="54"/>
  <c r="V22" i="54"/>
  <c r="V25" i="54"/>
  <c r="V10" i="53"/>
  <c r="V11" i="53"/>
  <c r="V15" i="53"/>
  <c r="V19" i="53"/>
  <c r="V20" i="53"/>
  <c r="T23" i="51"/>
  <c r="K8" i="54"/>
  <c r="X10" i="54"/>
  <c r="K14" i="54"/>
  <c r="X14" i="54"/>
  <c r="X16" i="54"/>
  <c r="K18" i="54"/>
  <c r="X18" i="54"/>
  <c r="X22" i="54"/>
  <c r="X8" i="53"/>
  <c r="X12" i="53"/>
  <c r="X21" i="52"/>
  <c r="X23" i="52"/>
  <c r="X11" i="51"/>
  <c r="X15" i="51"/>
  <c r="X21" i="51"/>
  <c r="O8" i="52"/>
  <c r="K9" i="52"/>
  <c r="O10" i="52"/>
  <c r="K11" i="52"/>
  <c r="K13" i="52"/>
  <c r="O14" i="52"/>
  <c r="K15" i="52"/>
  <c r="T15" i="52"/>
  <c r="K17" i="52"/>
  <c r="O18" i="52"/>
  <c r="K19" i="52"/>
  <c r="K23" i="52"/>
  <c r="K17" i="54"/>
  <c r="K21" i="54"/>
  <c r="K23" i="54"/>
  <c r="K19" i="54"/>
  <c r="K25" i="54"/>
  <c r="K9" i="53"/>
  <c r="O12" i="53"/>
  <c r="T17" i="53"/>
  <c r="K19" i="53"/>
  <c r="M17" i="52"/>
  <c r="T19" i="52"/>
  <c r="M21" i="52"/>
  <c r="M21" i="53"/>
  <c r="K15" i="54"/>
  <c r="K20" i="52"/>
  <c r="M19" i="53"/>
  <c r="M61" i="48"/>
  <c r="M39" i="48"/>
  <c r="I17" i="51"/>
  <c r="K23" i="53"/>
  <c r="M17" i="54"/>
  <c r="M21" i="54"/>
  <c r="K11" i="54"/>
  <c r="K21" i="53"/>
  <c r="K25" i="53"/>
  <c r="B105" i="49"/>
  <c r="M9" i="54"/>
  <c r="T9" i="54"/>
  <c r="M11" i="54"/>
  <c r="M12" i="54"/>
  <c r="T13" i="54"/>
  <c r="M15" i="54"/>
  <c r="O16" i="54"/>
  <c r="T17" i="54"/>
  <c r="M19" i="54"/>
  <c r="M20" i="54"/>
  <c r="T21" i="54"/>
  <c r="M23" i="54"/>
  <c r="M24" i="54"/>
  <c r="T25" i="54"/>
  <c r="I10" i="53"/>
  <c r="I14" i="53"/>
  <c r="T15" i="53"/>
  <c r="I18" i="53"/>
  <c r="O22" i="53"/>
  <c r="M25" i="53"/>
  <c r="T11" i="51"/>
  <c r="O12" i="51"/>
  <c r="O14" i="51"/>
  <c r="T15" i="51"/>
  <c r="T19" i="51"/>
  <c r="V9" i="54"/>
  <c r="K10" i="54"/>
  <c r="V13" i="54"/>
  <c r="T14" i="54"/>
  <c r="K8" i="52"/>
  <c r="V11" i="52"/>
  <c r="M13" i="52"/>
  <c r="C111" i="50"/>
  <c r="R17" i="51"/>
  <c r="T10" i="54"/>
  <c r="M11" i="53"/>
  <c r="T11" i="54"/>
  <c r="T18" i="51"/>
  <c r="V17" i="54"/>
  <c r="V21" i="54"/>
  <c r="V15" i="52"/>
  <c r="T23" i="52"/>
  <c r="R11" i="54"/>
  <c r="K8" i="51"/>
  <c r="X14" i="51"/>
  <c r="X18" i="51"/>
  <c r="I22" i="51"/>
  <c r="T12" i="52"/>
  <c r="V11" i="54"/>
  <c r="R11" i="52"/>
  <c r="R19" i="52"/>
  <c r="K21" i="52"/>
  <c r="I8" i="54"/>
  <c r="B103" i="49"/>
  <c r="C104" i="50"/>
  <c r="T16" i="51"/>
  <c r="X12" i="52"/>
  <c r="X16" i="52"/>
  <c r="X20" i="52"/>
  <c r="R10" i="54"/>
  <c r="X12" i="51"/>
  <c r="M17" i="51"/>
  <c r="O12" i="54"/>
  <c r="K12" i="52"/>
  <c r="C104" i="48"/>
  <c r="M8" i="51"/>
  <c r="K9" i="51"/>
  <c r="I11" i="51"/>
  <c r="K21" i="51"/>
  <c r="M8" i="52"/>
  <c r="O9" i="52"/>
  <c r="T10" i="52"/>
  <c r="I11" i="52"/>
  <c r="X11" i="52"/>
  <c r="M12" i="52"/>
  <c r="I13" i="52"/>
  <c r="T14" i="52"/>
  <c r="I15" i="52"/>
  <c r="X15" i="52"/>
  <c r="M16" i="52"/>
  <c r="I17" i="52"/>
  <c r="T18" i="52"/>
  <c r="I19" i="52"/>
  <c r="X19" i="52"/>
  <c r="M20" i="52"/>
  <c r="O21" i="52"/>
  <c r="T22" i="52"/>
  <c r="M24" i="52"/>
  <c r="X15" i="54"/>
  <c r="V8" i="54"/>
  <c r="X9" i="54"/>
  <c r="K13" i="54"/>
  <c r="V20" i="54"/>
  <c r="T13" i="51"/>
  <c r="I18" i="51"/>
  <c r="T21" i="51"/>
  <c r="I24" i="51"/>
  <c r="I10" i="52"/>
  <c r="X10" i="52"/>
  <c r="I14" i="52"/>
  <c r="X14" i="52"/>
  <c r="X18" i="52"/>
  <c r="X22" i="52"/>
  <c r="O9" i="54"/>
  <c r="X12" i="54"/>
  <c r="O13" i="54"/>
  <c r="X10" i="53"/>
  <c r="K14" i="51"/>
  <c r="M14" i="51"/>
  <c r="M8" i="54"/>
  <c r="X11" i="54"/>
  <c r="O10" i="51"/>
  <c r="R8" i="51"/>
  <c r="O9" i="51"/>
  <c r="K12" i="51"/>
  <c r="T12" i="51"/>
  <c r="K20" i="51"/>
  <c r="X20" i="51"/>
  <c r="O21" i="51"/>
  <c r="K24" i="51"/>
  <c r="X24" i="51"/>
  <c r="K10" i="52"/>
  <c r="T11" i="52"/>
  <c r="K22" i="52"/>
  <c r="I24" i="52"/>
  <c r="O8" i="51"/>
  <c r="V11" i="51"/>
  <c r="V19" i="51"/>
  <c r="X8" i="52"/>
  <c r="R10" i="52"/>
  <c r="O13" i="52"/>
  <c r="T12" i="54"/>
  <c r="M16" i="51"/>
  <c r="O10" i="53"/>
  <c r="I22" i="53"/>
  <c r="O8" i="54"/>
  <c r="R12" i="51"/>
  <c r="R14" i="51"/>
  <c r="O15" i="51"/>
  <c r="R16" i="51"/>
  <c r="V21" i="51"/>
  <c r="O23" i="51"/>
  <c r="K22" i="53"/>
  <c r="I16" i="54"/>
  <c r="I20" i="54"/>
  <c r="I24" i="54"/>
  <c r="X8" i="54"/>
  <c r="O10" i="54"/>
  <c r="X9" i="52"/>
  <c r="I8" i="52"/>
  <c r="I12" i="52"/>
  <c r="T13" i="52"/>
  <c r="I16" i="52"/>
  <c r="I20" i="52"/>
  <c r="M22" i="53"/>
  <c r="I12" i="54"/>
  <c r="K16" i="54"/>
  <c r="K20" i="54"/>
  <c r="O24" i="54"/>
  <c r="R8" i="53"/>
  <c r="K10" i="53"/>
  <c r="R12" i="53"/>
  <c r="V13" i="53"/>
  <c r="K14" i="53"/>
  <c r="V14" i="53"/>
  <c r="R16" i="53"/>
  <c r="K18" i="53"/>
  <c r="V22" i="53"/>
  <c r="R20" i="51"/>
  <c r="T17" i="52"/>
  <c r="K12" i="54"/>
  <c r="M16" i="54"/>
  <c r="O20" i="54"/>
  <c r="T8" i="53"/>
  <c r="X9" i="53"/>
  <c r="M10" i="53"/>
  <c r="T12" i="53"/>
  <c r="X13" i="53"/>
  <c r="K15" i="53"/>
  <c r="X17" i="53"/>
  <c r="T20" i="51"/>
  <c r="I10" i="51"/>
  <c r="M13" i="51"/>
  <c r="X16" i="51"/>
  <c r="X17" i="52"/>
  <c r="T21" i="52"/>
  <c r="M10" i="52"/>
  <c r="M14" i="52"/>
  <c r="M18" i="52"/>
  <c r="M22" i="52"/>
  <c r="V8" i="53"/>
  <c r="V12" i="53"/>
  <c r="V16" i="53"/>
  <c r="O18" i="53"/>
  <c r="V24" i="53"/>
  <c r="X13" i="52"/>
  <c r="O14" i="53"/>
  <c r="I11" i="53"/>
  <c r="X14" i="53"/>
  <c r="R22" i="53"/>
  <c r="K11" i="53"/>
  <c r="I15" i="53"/>
  <c r="V22" i="51"/>
  <c r="R24" i="51"/>
  <c r="O12" i="52"/>
  <c r="O16" i="52"/>
  <c r="V9" i="53"/>
  <c r="T18" i="53"/>
  <c r="R20" i="53"/>
  <c r="T23" i="53"/>
  <c r="X24" i="53"/>
  <c r="V18" i="53"/>
  <c r="T20" i="53"/>
  <c r="R21" i="53"/>
  <c r="K24" i="54"/>
  <c r="M25" i="54"/>
  <c r="V24" i="51"/>
  <c r="X16" i="53"/>
  <c r="M18" i="53"/>
  <c r="X18" i="53"/>
  <c r="T21" i="53"/>
  <c r="O23" i="53"/>
  <c r="O18" i="51"/>
  <c r="V21" i="53"/>
  <c r="X11" i="53"/>
  <c r="M15" i="53"/>
  <c r="O16" i="53"/>
  <c r="O17" i="53"/>
  <c r="T19" i="53"/>
  <c r="X20" i="53"/>
  <c r="O25" i="53"/>
  <c r="T14" i="51"/>
  <c r="O13" i="53"/>
  <c r="O15" i="53"/>
  <c r="M16" i="53"/>
  <c r="V10" i="51"/>
  <c r="R15" i="51"/>
  <c r="O20" i="51"/>
  <c r="O24" i="51"/>
  <c r="O17" i="52"/>
  <c r="R9" i="53"/>
  <c r="O11" i="53"/>
  <c r="M12" i="53"/>
  <c r="T25" i="53"/>
  <c r="T17" i="51"/>
  <c r="X22" i="51"/>
  <c r="T9" i="53"/>
  <c r="T13" i="53"/>
  <c r="T16" i="53"/>
  <c r="M20" i="53"/>
  <c r="V25" i="53"/>
  <c r="B105" i="50"/>
  <c r="X19" i="51"/>
  <c r="V8" i="51"/>
  <c r="X9" i="51"/>
  <c r="R11" i="51"/>
  <c r="V12" i="51"/>
  <c r="K13" i="51"/>
  <c r="R13" i="51"/>
  <c r="V16" i="51"/>
  <c r="K17" i="51"/>
  <c r="R19" i="51"/>
  <c r="R21" i="51"/>
  <c r="O22" i="51"/>
  <c r="R23" i="51"/>
  <c r="I9" i="52"/>
  <c r="T8" i="52"/>
  <c r="O11" i="52"/>
  <c r="O15" i="52"/>
  <c r="O19" i="52"/>
  <c r="O23" i="52"/>
  <c r="R15" i="52"/>
  <c r="R23" i="52"/>
  <c r="M9" i="53"/>
  <c r="K12" i="53"/>
  <c r="M13" i="53"/>
  <c r="K16" i="53"/>
  <c r="M17" i="53"/>
  <c r="B111" i="50"/>
  <c r="X8" i="51"/>
  <c r="R10" i="51"/>
  <c r="O13" i="51"/>
  <c r="K16" i="51"/>
  <c r="O17" i="51"/>
  <c r="R18" i="51"/>
  <c r="R22" i="51"/>
  <c r="V23" i="51"/>
  <c r="M9" i="52"/>
  <c r="M9" i="51"/>
  <c r="T10" i="51"/>
  <c r="M12" i="51"/>
  <c r="M20" i="51"/>
  <c r="M21" i="51"/>
  <c r="V14" i="51"/>
  <c r="O16" i="51"/>
  <c r="V18" i="51"/>
  <c r="C111" i="49"/>
  <c r="I8" i="51"/>
  <c r="X10" i="51"/>
  <c r="I12" i="51"/>
  <c r="I14" i="51"/>
  <c r="I20" i="51"/>
  <c r="K22" i="51"/>
  <c r="M10" i="51"/>
  <c r="M18" i="51"/>
  <c r="R8" i="52"/>
  <c r="R9" i="52"/>
  <c r="R13" i="52"/>
  <c r="R17" i="52"/>
  <c r="R21" i="52"/>
  <c r="T9" i="52"/>
  <c r="M11" i="52"/>
  <c r="M15" i="52"/>
  <c r="M19" i="52"/>
  <c r="M23" i="52"/>
  <c r="B104" i="49"/>
  <c r="C104" i="49"/>
  <c r="I9" i="51"/>
  <c r="I21" i="51"/>
  <c r="T8" i="51"/>
  <c r="I13" i="51"/>
  <c r="X13" i="51"/>
  <c r="I15" i="51"/>
  <c r="O19" i="51"/>
  <c r="T24" i="51"/>
  <c r="B111" i="48"/>
  <c r="R9" i="51"/>
  <c r="V13" i="51"/>
  <c r="T9" i="51"/>
  <c r="V9" i="51"/>
  <c r="K11" i="51"/>
  <c r="K15" i="51"/>
  <c r="K19" i="51"/>
  <c r="K23" i="51"/>
  <c r="B111" i="49"/>
  <c r="M11" i="51"/>
  <c r="M15" i="51"/>
  <c r="M19" i="51"/>
  <c r="M23" i="51"/>
  <c r="C105" i="50"/>
  <c r="B109" i="50"/>
  <c r="C109" i="50"/>
  <c r="B103" i="50"/>
  <c r="B110" i="50"/>
  <c r="C103" i="50"/>
  <c r="C110" i="50"/>
  <c r="C105" i="49"/>
  <c r="B104" i="48"/>
  <c r="B109" i="49"/>
  <c r="C109" i="49"/>
  <c r="B110" i="49"/>
  <c r="C103" i="49"/>
  <c r="C110" i="49"/>
  <c r="B105" i="48"/>
  <c r="C105" i="48"/>
  <c r="B109" i="48"/>
  <c r="C109" i="48"/>
  <c r="B103" i="48"/>
  <c r="B110" i="48"/>
  <c r="C103" i="48"/>
  <c r="C110" i="48"/>
  <c r="O85" i="44"/>
  <c r="O91" i="44"/>
  <c r="O86" i="44"/>
  <c r="O94" i="44"/>
  <c r="O95" i="44"/>
  <c r="O97" i="44"/>
  <c r="O90" i="44"/>
  <c r="O84" i="44"/>
  <c r="O83" i="44"/>
  <c r="O96" i="44"/>
  <c r="O82" i="44"/>
  <c r="O92" i="44"/>
  <c r="O89" i="44"/>
  <c r="O88" i="44"/>
  <c r="O93" i="44"/>
  <c r="O81" i="44"/>
  <c r="O87" i="44"/>
  <c r="K85" i="44"/>
  <c r="K93" i="44"/>
  <c r="K97" i="44"/>
  <c r="K84" i="44"/>
  <c r="K83" i="44"/>
  <c r="K96" i="44"/>
  <c r="K82" i="44"/>
  <c r="K94" i="44"/>
  <c r="K95" i="44"/>
  <c r="K92" i="44"/>
  <c r="K91" i="44"/>
  <c r="K90" i="44"/>
  <c r="K89" i="44"/>
  <c r="K88" i="44"/>
  <c r="K87" i="44"/>
  <c r="K81" i="44"/>
  <c r="K86" i="44"/>
  <c r="G95" i="44"/>
  <c r="G91" i="44"/>
  <c r="G88" i="44"/>
  <c r="G81" i="44"/>
  <c r="G94" i="44"/>
  <c r="G89" i="44"/>
  <c r="G83" i="44"/>
  <c r="G87" i="44"/>
  <c r="G93" i="44"/>
  <c r="G84" i="44"/>
  <c r="G96" i="44"/>
  <c r="G97" i="44"/>
  <c r="G86" i="44"/>
  <c r="G82" i="44"/>
  <c r="G85" i="44"/>
  <c r="G90" i="44"/>
  <c r="G98" i="44"/>
  <c r="G92" i="44"/>
  <c r="C87" i="44" l="1"/>
  <c r="C97" i="44"/>
  <c r="C82" i="44"/>
  <c r="C98" i="44"/>
  <c r="C95" i="44"/>
  <c r="C88" i="44"/>
  <c r="C90" i="44"/>
  <c r="C85" i="44"/>
  <c r="C81" i="44"/>
  <c r="C84" i="44"/>
  <c r="C89" i="44"/>
  <c r="C93" i="44"/>
  <c r="C92" i="44"/>
  <c r="C83" i="44"/>
  <c r="C91" i="44"/>
  <c r="C86" i="44"/>
  <c r="C94" i="44"/>
  <c r="C96" i="44"/>
  <c r="L62" i="44"/>
  <c r="L67" i="44"/>
  <c r="L68" i="44"/>
  <c r="L72" i="44"/>
  <c r="L65" i="44"/>
  <c r="L69" i="44"/>
  <c r="L64" i="44"/>
  <c r="L61" i="44"/>
  <c r="L60" i="44"/>
  <c r="L70" i="44"/>
  <c r="L59" i="44"/>
  <c r="L71" i="44"/>
  <c r="L63" i="44"/>
  <c r="L74" i="44"/>
  <c r="L66" i="44"/>
  <c r="L58" i="44"/>
  <c r="L73" i="44"/>
  <c r="E64" i="44"/>
  <c r="E73" i="44"/>
  <c r="E71" i="44"/>
  <c r="E59" i="44"/>
  <c r="E66" i="44"/>
  <c r="E65" i="44"/>
  <c r="E60" i="44"/>
  <c r="E63" i="44"/>
  <c r="E72" i="44"/>
  <c r="E61" i="44"/>
  <c r="E62" i="44"/>
  <c r="E69" i="44"/>
  <c r="E58" i="44"/>
  <c r="E68" i="44"/>
  <c r="E67" i="44"/>
  <c r="E74" i="44"/>
  <c r="E75" i="44"/>
  <c r="E70" i="44"/>
  <c r="K62" i="44"/>
  <c r="K67" i="44"/>
  <c r="K68" i="44"/>
  <c r="K72" i="44"/>
  <c r="K65" i="44"/>
  <c r="K69" i="44"/>
  <c r="K64" i="44"/>
  <c r="K61" i="44"/>
  <c r="K60" i="44"/>
  <c r="K70" i="44"/>
  <c r="K59" i="44"/>
  <c r="K71" i="44"/>
  <c r="K63" i="44"/>
  <c r="K74" i="44"/>
  <c r="K66" i="44"/>
  <c r="K58" i="44"/>
  <c r="K73" i="44"/>
  <c r="D64" i="44"/>
  <c r="D73" i="44"/>
  <c r="D71" i="44"/>
  <c r="D59" i="44"/>
  <c r="D66" i="44"/>
  <c r="D65" i="44"/>
  <c r="D60" i="44"/>
  <c r="D63" i="44"/>
  <c r="D72" i="44"/>
  <c r="D61" i="44"/>
  <c r="D62" i="44"/>
  <c r="D69" i="44"/>
  <c r="D58" i="44"/>
  <c r="D68" i="44"/>
  <c r="D67" i="44"/>
  <c r="D74" i="44"/>
  <c r="D75" i="44"/>
  <c r="D70" i="44"/>
  <c r="J62" i="44"/>
  <c r="M62" i="44" s="1"/>
  <c r="J67" i="44"/>
  <c r="J68" i="44"/>
  <c r="J72" i="44"/>
  <c r="J65" i="44"/>
  <c r="J69" i="44"/>
  <c r="J64" i="44"/>
  <c r="J61" i="44"/>
  <c r="M61" i="44" s="1"/>
  <c r="J60" i="44"/>
  <c r="M60" i="44" s="1"/>
  <c r="J70" i="44"/>
  <c r="J59" i="44"/>
  <c r="M59" i="44" s="1"/>
  <c r="J71" i="44"/>
  <c r="J63" i="44"/>
  <c r="J74" i="44"/>
  <c r="J66" i="44"/>
  <c r="J58" i="44"/>
  <c r="M58" i="44" s="1"/>
  <c r="J73" i="44"/>
  <c r="C64" i="44"/>
  <c r="C73" i="44"/>
  <c r="C71" i="44"/>
  <c r="C59" i="44"/>
  <c r="F59" i="44" s="1"/>
  <c r="C66" i="44"/>
  <c r="C65" i="44"/>
  <c r="C60" i="44"/>
  <c r="F60" i="44" s="1"/>
  <c r="C63" i="44"/>
  <c r="C72" i="44"/>
  <c r="C61" i="44"/>
  <c r="F61" i="44" s="1"/>
  <c r="C62" i="44"/>
  <c r="C69" i="44"/>
  <c r="C58" i="44"/>
  <c r="F58" i="44" s="1"/>
  <c r="C68" i="44"/>
  <c r="C67" i="44"/>
  <c r="C74" i="44"/>
  <c r="C75" i="44"/>
  <c r="C70" i="44"/>
  <c r="E52" i="44"/>
  <c r="D52" i="44"/>
  <c r="C52" i="44"/>
  <c r="E44" i="44"/>
  <c r="D44" i="44"/>
  <c r="C44" i="44"/>
  <c r="E53" i="44"/>
  <c r="D53" i="44"/>
  <c r="C53" i="44"/>
  <c r="E50" i="44"/>
  <c r="D50" i="44"/>
  <c r="C50" i="44"/>
  <c r="E37" i="44"/>
  <c r="D37" i="44"/>
  <c r="C37" i="44"/>
  <c r="F37" i="44" s="1"/>
  <c r="E51" i="44"/>
  <c r="D51" i="44"/>
  <c r="C51" i="44"/>
  <c r="E49" i="44"/>
  <c r="D49" i="44"/>
  <c r="C49" i="44"/>
  <c r="E42" i="44"/>
  <c r="D42" i="44"/>
  <c r="C42" i="44"/>
  <c r="E43" i="44"/>
  <c r="D43" i="44"/>
  <c r="C43" i="44"/>
  <c r="E39" i="44"/>
  <c r="D39" i="44"/>
  <c r="C39" i="44"/>
  <c r="F39" i="44" s="1"/>
  <c r="E36" i="44"/>
  <c r="D36" i="44"/>
  <c r="C36" i="44"/>
  <c r="F36" i="44" s="1"/>
  <c r="E40" i="44"/>
  <c r="D40" i="44"/>
  <c r="C40" i="44"/>
  <c r="E46" i="44"/>
  <c r="D46" i="44"/>
  <c r="C46" i="44"/>
  <c r="E41" i="44"/>
  <c r="D41" i="44"/>
  <c r="C41" i="44"/>
  <c r="E45" i="44"/>
  <c r="D45" i="44"/>
  <c r="C45" i="44"/>
  <c r="E48" i="44"/>
  <c r="D48" i="44"/>
  <c r="C48" i="44"/>
  <c r="E38" i="44"/>
  <c r="D38" i="44"/>
  <c r="C38" i="44"/>
  <c r="F38" i="44" s="1"/>
  <c r="E47" i="44"/>
  <c r="D47" i="44"/>
  <c r="C47" i="44"/>
  <c r="L40" i="44"/>
  <c r="L46" i="44"/>
  <c r="L48" i="44"/>
  <c r="L52" i="44"/>
  <c r="L45" i="44"/>
  <c r="L41" i="44"/>
  <c r="L50" i="44"/>
  <c r="L39" i="44"/>
  <c r="L38" i="44"/>
  <c r="L49" i="44"/>
  <c r="L37" i="44"/>
  <c r="L43" i="44"/>
  <c r="L36" i="44"/>
  <c r="L44" i="44"/>
  <c r="L42" i="44"/>
  <c r="L51" i="44"/>
  <c r="L47" i="44"/>
  <c r="K40" i="44"/>
  <c r="K46" i="44"/>
  <c r="K48" i="44"/>
  <c r="K52" i="44"/>
  <c r="K45" i="44"/>
  <c r="K41" i="44"/>
  <c r="K50" i="44"/>
  <c r="K39" i="44"/>
  <c r="K38" i="44"/>
  <c r="K49" i="44"/>
  <c r="K37" i="44"/>
  <c r="K43" i="44"/>
  <c r="K36" i="44"/>
  <c r="K44" i="44"/>
  <c r="K42" i="44"/>
  <c r="K51" i="44"/>
  <c r="K47" i="44"/>
  <c r="J40" i="44"/>
  <c r="M40" i="44" s="1"/>
  <c r="J46" i="44"/>
  <c r="J48" i="44"/>
  <c r="J52" i="44"/>
  <c r="J45" i="44"/>
  <c r="J41" i="44"/>
  <c r="J50" i="44"/>
  <c r="J39" i="44"/>
  <c r="M39" i="44" s="1"/>
  <c r="J38" i="44"/>
  <c r="M38" i="44" s="1"/>
  <c r="J49" i="44"/>
  <c r="J37" i="44"/>
  <c r="M37" i="44" s="1"/>
  <c r="J43" i="44"/>
  <c r="J36" i="44"/>
  <c r="M36" i="44" s="1"/>
  <c r="J44" i="44"/>
  <c r="J42" i="44"/>
  <c r="J51" i="44"/>
  <c r="J47" i="44"/>
  <c r="D27" i="44"/>
  <c r="C27" i="44"/>
  <c r="D10" i="44"/>
  <c r="C10" i="44"/>
  <c r="D15" i="44"/>
  <c r="C15" i="44"/>
  <c r="D23" i="44"/>
  <c r="C23" i="44"/>
  <c r="D11" i="44"/>
  <c r="C11" i="44"/>
  <c r="D22" i="44"/>
  <c r="C22" i="44"/>
  <c r="D25" i="44"/>
  <c r="C25" i="44"/>
  <c r="D13" i="44"/>
  <c r="C13" i="44"/>
  <c r="D21" i="44"/>
  <c r="C21" i="44"/>
  <c r="D14" i="44"/>
  <c r="C14" i="44"/>
  <c r="D12" i="44"/>
  <c r="C12" i="44"/>
  <c r="D26" i="44"/>
  <c r="C26" i="44"/>
  <c r="D16" i="44"/>
  <c r="C16" i="44"/>
  <c r="D17" i="44"/>
  <c r="C17" i="44"/>
  <c r="D24" i="44"/>
  <c r="C24" i="44"/>
  <c r="D19" i="44"/>
  <c r="C19" i="44"/>
  <c r="D20" i="44"/>
  <c r="C20" i="44"/>
  <c r="D18" i="44"/>
  <c r="C18" i="44"/>
  <c r="K16" i="44"/>
  <c r="J16" i="44"/>
  <c r="K10" i="44"/>
  <c r="J10" i="44"/>
  <c r="K11" i="44"/>
  <c r="J11" i="44"/>
  <c r="K17" i="44"/>
  <c r="J17" i="44"/>
  <c r="K21" i="44"/>
  <c r="J21" i="44"/>
  <c r="K12" i="44"/>
  <c r="J12" i="44"/>
  <c r="K18" i="44"/>
  <c r="J18" i="44"/>
  <c r="K13" i="44"/>
  <c r="J13" i="44"/>
  <c r="K19" i="44"/>
  <c r="J19" i="44"/>
  <c r="K22" i="44"/>
  <c r="J22" i="44"/>
  <c r="K20" i="44"/>
  <c r="J20" i="44"/>
  <c r="K26" i="44"/>
  <c r="J26" i="44"/>
  <c r="K15" i="44"/>
  <c r="J15" i="44"/>
  <c r="K14" i="44"/>
  <c r="J14" i="44"/>
  <c r="K25" i="44"/>
  <c r="J25" i="44"/>
  <c r="K23" i="44"/>
  <c r="J23" i="44"/>
  <c r="AA25" i="47"/>
  <c r="Z25" i="47"/>
  <c r="Y25" i="47"/>
  <c r="W25" i="47"/>
  <c r="U25" i="47"/>
  <c r="S25" i="47"/>
  <c r="Q25" i="47"/>
  <c r="P25" i="47"/>
  <c r="N25" i="47"/>
  <c r="L25" i="47"/>
  <c r="J25" i="47"/>
  <c r="H25" i="47"/>
  <c r="G25" i="47"/>
  <c r="F25" i="47"/>
  <c r="AA24" i="47"/>
  <c r="Z24" i="47"/>
  <c r="Y24" i="47"/>
  <c r="W24" i="47"/>
  <c r="U24" i="47"/>
  <c r="S24" i="47"/>
  <c r="Q24" i="47"/>
  <c r="P24" i="47"/>
  <c r="N24" i="47"/>
  <c r="L24" i="47"/>
  <c r="J24" i="47"/>
  <c r="H24" i="47"/>
  <c r="G24" i="47"/>
  <c r="F24" i="47"/>
  <c r="AA23" i="47"/>
  <c r="Z23" i="47"/>
  <c r="Y23" i="47"/>
  <c r="W23" i="47"/>
  <c r="U23" i="47"/>
  <c r="S23" i="47"/>
  <c r="Q23" i="47"/>
  <c r="P23" i="47"/>
  <c r="N23" i="47"/>
  <c r="L23" i="47"/>
  <c r="J23" i="47"/>
  <c r="H23" i="47"/>
  <c r="G23" i="47"/>
  <c r="F23" i="47"/>
  <c r="AA22" i="47"/>
  <c r="Z22" i="47"/>
  <c r="Y22" i="47"/>
  <c r="W22" i="47"/>
  <c r="U22" i="47"/>
  <c r="S22" i="47"/>
  <c r="Q22" i="47"/>
  <c r="P22" i="47"/>
  <c r="N22" i="47"/>
  <c r="L22" i="47"/>
  <c r="J22" i="47"/>
  <c r="H22" i="47"/>
  <c r="G22" i="47"/>
  <c r="F22" i="47"/>
  <c r="AA21" i="47"/>
  <c r="Z21" i="47"/>
  <c r="Y21" i="47"/>
  <c r="W21" i="47"/>
  <c r="U21" i="47"/>
  <c r="S21" i="47"/>
  <c r="Q21" i="47"/>
  <c r="P21" i="47"/>
  <c r="N21" i="47"/>
  <c r="L21" i="47"/>
  <c r="J21" i="47"/>
  <c r="H21" i="47"/>
  <c r="G21" i="47"/>
  <c r="F21" i="47"/>
  <c r="AA20" i="47"/>
  <c r="Z20" i="47"/>
  <c r="Y20" i="47"/>
  <c r="W20" i="47"/>
  <c r="U20" i="47"/>
  <c r="S20" i="47"/>
  <c r="Q20" i="47"/>
  <c r="P20" i="47"/>
  <c r="N20" i="47"/>
  <c r="L20" i="47"/>
  <c r="J20" i="47"/>
  <c r="H20" i="47"/>
  <c r="G20" i="47"/>
  <c r="F20" i="47"/>
  <c r="AA19" i="47"/>
  <c r="Z19" i="47"/>
  <c r="Y19" i="47"/>
  <c r="W19" i="47"/>
  <c r="U19" i="47"/>
  <c r="S19" i="47"/>
  <c r="Q19" i="47"/>
  <c r="P19" i="47"/>
  <c r="N19" i="47"/>
  <c r="L19" i="47"/>
  <c r="J19" i="47"/>
  <c r="H19" i="47"/>
  <c r="G19" i="47"/>
  <c r="F19" i="47"/>
  <c r="AA18" i="47"/>
  <c r="Z18" i="47"/>
  <c r="Y18" i="47"/>
  <c r="W18" i="47"/>
  <c r="U18" i="47"/>
  <c r="S18" i="47"/>
  <c r="Q18" i="47"/>
  <c r="P18" i="47"/>
  <c r="N18" i="47"/>
  <c r="L18" i="47"/>
  <c r="J18" i="47"/>
  <c r="H18" i="47"/>
  <c r="G18" i="47"/>
  <c r="F18" i="47"/>
  <c r="AA17" i="47"/>
  <c r="Z17" i="47"/>
  <c r="Y17" i="47"/>
  <c r="W17" i="47"/>
  <c r="U17" i="47"/>
  <c r="S17" i="47"/>
  <c r="Q17" i="47"/>
  <c r="P17" i="47"/>
  <c r="N17" i="47"/>
  <c r="L17" i="47"/>
  <c r="J17" i="47"/>
  <c r="H17" i="47"/>
  <c r="G17" i="47"/>
  <c r="F17" i="47"/>
  <c r="AA16" i="47"/>
  <c r="Z16" i="47"/>
  <c r="Y16" i="47"/>
  <c r="W16" i="47"/>
  <c r="U16" i="47"/>
  <c r="S16" i="47"/>
  <c r="Q16" i="47"/>
  <c r="P16" i="47"/>
  <c r="N16" i="47"/>
  <c r="L16" i="47"/>
  <c r="J16" i="47"/>
  <c r="H16" i="47"/>
  <c r="G16" i="47"/>
  <c r="F16" i="47"/>
  <c r="AA15" i="47"/>
  <c r="Z15" i="47"/>
  <c r="Y15" i="47"/>
  <c r="W15" i="47"/>
  <c r="U15" i="47"/>
  <c r="S15" i="47"/>
  <c r="Q15" i="47"/>
  <c r="P15" i="47"/>
  <c r="N15" i="47"/>
  <c r="L15" i="47"/>
  <c r="J15" i="47"/>
  <c r="H15" i="47"/>
  <c r="G15" i="47"/>
  <c r="F15" i="47"/>
  <c r="AA14" i="47"/>
  <c r="Z14" i="47"/>
  <c r="Y14" i="47"/>
  <c r="W14" i="47"/>
  <c r="U14" i="47"/>
  <c r="S14" i="47"/>
  <c r="Q14" i="47"/>
  <c r="P14" i="47"/>
  <c r="N14" i="47"/>
  <c r="L14" i="47"/>
  <c r="J14" i="47"/>
  <c r="H14" i="47"/>
  <c r="G14" i="47"/>
  <c r="F14" i="47"/>
  <c r="AA13" i="47"/>
  <c r="Z13" i="47"/>
  <c r="Y13" i="47"/>
  <c r="W13" i="47"/>
  <c r="U13" i="47"/>
  <c r="S13" i="47"/>
  <c r="Q13" i="47"/>
  <c r="P13" i="47"/>
  <c r="N13" i="47"/>
  <c r="L13" i="47"/>
  <c r="J13" i="47"/>
  <c r="H13" i="47"/>
  <c r="G13" i="47"/>
  <c r="F13" i="47"/>
  <c r="AA12" i="47"/>
  <c r="Z12" i="47"/>
  <c r="Y12" i="47"/>
  <c r="W12" i="47"/>
  <c r="U12" i="47"/>
  <c r="S12" i="47"/>
  <c r="Q12" i="47"/>
  <c r="P12" i="47"/>
  <c r="N12" i="47"/>
  <c r="L12" i="47"/>
  <c r="J12" i="47"/>
  <c r="H12" i="47"/>
  <c r="G12" i="47"/>
  <c r="F12" i="47"/>
  <c r="AA11" i="47"/>
  <c r="Z11" i="47"/>
  <c r="Y11" i="47"/>
  <c r="W11" i="47"/>
  <c r="U11" i="47"/>
  <c r="S11" i="47"/>
  <c r="Q11" i="47"/>
  <c r="P11" i="47"/>
  <c r="N11" i="47"/>
  <c r="L11" i="47"/>
  <c r="J11" i="47"/>
  <c r="H11" i="47"/>
  <c r="G11" i="47"/>
  <c r="F11" i="47"/>
  <c r="AA10" i="47"/>
  <c r="Z10" i="47"/>
  <c r="Y10" i="47"/>
  <c r="W10" i="47"/>
  <c r="U10" i="47"/>
  <c r="S10" i="47"/>
  <c r="Q10" i="47"/>
  <c r="P10" i="47"/>
  <c r="N10" i="47"/>
  <c r="L10" i="47"/>
  <c r="J10" i="47"/>
  <c r="H10" i="47"/>
  <c r="G10" i="47"/>
  <c r="F10" i="47"/>
  <c r="AA9" i="47"/>
  <c r="Z9" i="47"/>
  <c r="Y9" i="47"/>
  <c r="W9" i="47"/>
  <c r="U9" i="47"/>
  <c r="S9" i="47"/>
  <c r="Q9" i="47"/>
  <c r="P9" i="47"/>
  <c r="N9" i="47"/>
  <c r="L9" i="47"/>
  <c r="J9" i="47"/>
  <c r="H9" i="47"/>
  <c r="G9" i="47"/>
  <c r="F9" i="47"/>
  <c r="AA8" i="47"/>
  <c r="Z8" i="47"/>
  <c r="Y8" i="47"/>
  <c r="W8" i="47"/>
  <c r="U8" i="47"/>
  <c r="S8" i="47"/>
  <c r="Q8" i="47"/>
  <c r="P8" i="47"/>
  <c r="N8" i="47"/>
  <c r="L8" i="47"/>
  <c r="J8" i="47"/>
  <c r="H8" i="47"/>
  <c r="G8" i="47"/>
  <c r="F8" i="47"/>
  <c r="AA24" i="46"/>
  <c r="Z24" i="46"/>
  <c r="Y24" i="46"/>
  <c r="W24" i="46"/>
  <c r="U24" i="46"/>
  <c r="S24" i="46"/>
  <c r="Q24" i="46"/>
  <c r="P24" i="46"/>
  <c r="N24" i="46"/>
  <c r="L24" i="46"/>
  <c r="J24" i="46"/>
  <c r="H24" i="46"/>
  <c r="G24" i="46"/>
  <c r="F24" i="46"/>
  <c r="AA23" i="46"/>
  <c r="Z23" i="46"/>
  <c r="Y23" i="46"/>
  <c r="W23" i="46"/>
  <c r="U23" i="46"/>
  <c r="S23" i="46"/>
  <c r="Q23" i="46"/>
  <c r="P23" i="46"/>
  <c r="N23" i="46"/>
  <c r="L23" i="46"/>
  <c r="J23" i="46"/>
  <c r="H23" i="46"/>
  <c r="G23" i="46"/>
  <c r="F23" i="46"/>
  <c r="AA22" i="46"/>
  <c r="Z22" i="46"/>
  <c r="Y22" i="46"/>
  <c r="W22" i="46"/>
  <c r="U22" i="46"/>
  <c r="S22" i="46"/>
  <c r="Q22" i="46"/>
  <c r="P22" i="46"/>
  <c r="N22" i="46"/>
  <c r="L22" i="46"/>
  <c r="J22" i="46"/>
  <c r="H22" i="46"/>
  <c r="G22" i="46"/>
  <c r="F22" i="46"/>
  <c r="AA21" i="46"/>
  <c r="Z21" i="46"/>
  <c r="Y21" i="46"/>
  <c r="W21" i="46"/>
  <c r="U21" i="46"/>
  <c r="S21" i="46"/>
  <c r="Q21" i="46"/>
  <c r="P21" i="46"/>
  <c r="N21" i="46"/>
  <c r="L21" i="46"/>
  <c r="J21" i="46"/>
  <c r="H21" i="46"/>
  <c r="G21" i="46"/>
  <c r="F21" i="46"/>
  <c r="AA20" i="46"/>
  <c r="Z20" i="46"/>
  <c r="Y20" i="46"/>
  <c r="W20" i="46"/>
  <c r="U20" i="46"/>
  <c r="S20" i="46"/>
  <c r="Q20" i="46"/>
  <c r="P20" i="46"/>
  <c r="N20" i="46"/>
  <c r="L20" i="46"/>
  <c r="J20" i="46"/>
  <c r="H20" i="46"/>
  <c r="G20" i="46"/>
  <c r="F20" i="46"/>
  <c r="AA19" i="46"/>
  <c r="Z19" i="46"/>
  <c r="Y19" i="46"/>
  <c r="W19" i="46"/>
  <c r="U19" i="46"/>
  <c r="S19" i="46"/>
  <c r="Q19" i="46"/>
  <c r="P19" i="46"/>
  <c r="N19" i="46"/>
  <c r="L19" i="46"/>
  <c r="J19" i="46"/>
  <c r="H19" i="46"/>
  <c r="G19" i="46"/>
  <c r="F19" i="46"/>
  <c r="AA17" i="46"/>
  <c r="Z17" i="46"/>
  <c r="Y17" i="46"/>
  <c r="W17" i="46"/>
  <c r="U17" i="46"/>
  <c r="S17" i="46"/>
  <c r="Q17" i="46"/>
  <c r="P17" i="46"/>
  <c r="N17" i="46"/>
  <c r="L17" i="46"/>
  <c r="J17" i="46"/>
  <c r="H17" i="46"/>
  <c r="G17" i="46"/>
  <c r="F17" i="46"/>
  <c r="AA16" i="46"/>
  <c r="Z16" i="46"/>
  <c r="Y16" i="46"/>
  <c r="W16" i="46"/>
  <c r="U16" i="46"/>
  <c r="S16" i="46"/>
  <c r="Q16" i="46"/>
  <c r="P16" i="46"/>
  <c r="N16" i="46"/>
  <c r="L16" i="46"/>
  <c r="J16" i="46"/>
  <c r="H16" i="46"/>
  <c r="G16" i="46"/>
  <c r="F16" i="46"/>
  <c r="AA15" i="46"/>
  <c r="Z15" i="46"/>
  <c r="Y15" i="46"/>
  <c r="W15" i="46"/>
  <c r="U15" i="46"/>
  <c r="S15" i="46"/>
  <c r="Q15" i="46"/>
  <c r="P15" i="46"/>
  <c r="N15" i="46"/>
  <c r="L15" i="46"/>
  <c r="J15" i="46"/>
  <c r="H15" i="46"/>
  <c r="G15" i="46"/>
  <c r="F15" i="46"/>
  <c r="AA14" i="46"/>
  <c r="Z14" i="46"/>
  <c r="Y14" i="46"/>
  <c r="W14" i="46"/>
  <c r="U14" i="46"/>
  <c r="S14" i="46"/>
  <c r="Q14" i="46"/>
  <c r="P14" i="46"/>
  <c r="N14" i="46"/>
  <c r="L14" i="46"/>
  <c r="J14" i="46"/>
  <c r="H14" i="46"/>
  <c r="G14" i="46"/>
  <c r="F14" i="46"/>
  <c r="AA13" i="46"/>
  <c r="Z13" i="46"/>
  <c r="Y13" i="46"/>
  <c r="W13" i="46"/>
  <c r="U13" i="46"/>
  <c r="S13" i="46"/>
  <c r="Q13" i="46"/>
  <c r="P13" i="46"/>
  <c r="N13" i="46"/>
  <c r="L13" i="46"/>
  <c r="J13" i="46"/>
  <c r="H13" i="46"/>
  <c r="G13" i="46"/>
  <c r="F13" i="46"/>
  <c r="AA12" i="46"/>
  <c r="Z12" i="46"/>
  <c r="Y12" i="46"/>
  <c r="W12" i="46"/>
  <c r="U12" i="46"/>
  <c r="S12" i="46"/>
  <c r="Q12" i="46"/>
  <c r="P12" i="46"/>
  <c r="N12" i="46"/>
  <c r="L12" i="46"/>
  <c r="J12" i="46"/>
  <c r="H12" i="46"/>
  <c r="G12" i="46"/>
  <c r="F12" i="46"/>
  <c r="AA11" i="46"/>
  <c r="Z11" i="46"/>
  <c r="Y11" i="46"/>
  <c r="W11" i="46"/>
  <c r="U11" i="46"/>
  <c r="S11" i="46"/>
  <c r="Q11" i="46"/>
  <c r="P11" i="46"/>
  <c r="N11" i="46"/>
  <c r="L11" i="46"/>
  <c r="J11" i="46"/>
  <c r="H11" i="46"/>
  <c r="G11" i="46"/>
  <c r="F11" i="46"/>
  <c r="AA10" i="46"/>
  <c r="Z10" i="46"/>
  <c r="Y10" i="46"/>
  <c r="W10" i="46"/>
  <c r="U10" i="46"/>
  <c r="S10" i="46"/>
  <c r="Q10" i="46"/>
  <c r="P10" i="46"/>
  <c r="N10" i="46"/>
  <c r="L10" i="46"/>
  <c r="J10" i="46"/>
  <c r="H10" i="46"/>
  <c r="G10" i="46"/>
  <c r="F10" i="46"/>
  <c r="AA9" i="46"/>
  <c r="Z9" i="46"/>
  <c r="Y9" i="46"/>
  <c r="W9" i="46"/>
  <c r="U9" i="46"/>
  <c r="S9" i="46"/>
  <c r="Q9" i="46"/>
  <c r="P9" i="46"/>
  <c r="N9" i="46"/>
  <c r="L9" i="46"/>
  <c r="J9" i="46"/>
  <c r="H9" i="46"/>
  <c r="G9" i="46"/>
  <c r="F9" i="46"/>
  <c r="AA25" i="38"/>
  <c r="Z25" i="38"/>
  <c r="Y25" i="38"/>
  <c r="W25" i="38"/>
  <c r="U25" i="38"/>
  <c r="S25" i="38"/>
  <c r="Q25" i="38"/>
  <c r="P25" i="38"/>
  <c r="N25" i="38"/>
  <c r="L25" i="38"/>
  <c r="J25" i="38"/>
  <c r="H25" i="38"/>
  <c r="G25" i="38"/>
  <c r="F25" i="38"/>
  <c r="AA24" i="38"/>
  <c r="Z24" i="38"/>
  <c r="Y24" i="38"/>
  <c r="W24" i="38"/>
  <c r="U24" i="38"/>
  <c r="S24" i="38"/>
  <c r="Q24" i="38"/>
  <c r="P24" i="38"/>
  <c r="N24" i="38"/>
  <c r="L24" i="38"/>
  <c r="J24" i="38"/>
  <c r="H24" i="38"/>
  <c r="G24" i="38"/>
  <c r="F24" i="38"/>
  <c r="AA23" i="38"/>
  <c r="Z23" i="38"/>
  <c r="Y23" i="38"/>
  <c r="W23" i="38"/>
  <c r="U23" i="38"/>
  <c r="S23" i="38"/>
  <c r="Q23" i="38"/>
  <c r="P23" i="38"/>
  <c r="N23" i="38"/>
  <c r="L23" i="38"/>
  <c r="J23" i="38"/>
  <c r="H23" i="38"/>
  <c r="G23" i="38"/>
  <c r="F23" i="38"/>
  <c r="AA22" i="38"/>
  <c r="Z22" i="38"/>
  <c r="Y22" i="38"/>
  <c r="W22" i="38"/>
  <c r="U22" i="38"/>
  <c r="S22" i="38"/>
  <c r="Q22" i="38"/>
  <c r="P22" i="38"/>
  <c r="N22" i="38"/>
  <c r="L22" i="38"/>
  <c r="J22" i="38"/>
  <c r="H22" i="38"/>
  <c r="G22" i="38"/>
  <c r="F22" i="38"/>
  <c r="AA21" i="38"/>
  <c r="Z21" i="38"/>
  <c r="Y21" i="38"/>
  <c r="W21" i="38"/>
  <c r="U21" i="38"/>
  <c r="S21" i="38"/>
  <c r="Q21" i="38"/>
  <c r="P21" i="38"/>
  <c r="N21" i="38"/>
  <c r="L21" i="38"/>
  <c r="J21" i="38"/>
  <c r="H21" i="38"/>
  <c r="G21" i="38"/>
  <c r="F21" i="38"/>
  <c r="AA20" i="38"/>
  <c r="Z20" i="38"/>
  <c r="Y20" i="38"/>
  <c r="W20" i="38"/>
  <c r="U20" i="38"/>
  <c r="S20" i="38"/>
  <c r="Q20" i="38"/>
  <c r="P20" i="38"/>
  <c r="N20" i="38"/>
  <c r="L20" i="38"/>
  <c r="J20" i="38"/>
  <c r="H20" i="38"/>
  <c r="G20" i="38"/>
  <c r="F20" i="38"/>
  <c r="AA19" i="38"/>
  <c r="Z19" i="38"/>
  <c r="Y19" i="38"/>
  <c r="W19" i="38"/>
  <c r="U19" i="38"/>
  <c r="S19" i="38"/>
  <c r="Q19" i="38"/>
  <c r="P19" i="38"/>
  <c r="N19" i="38"/>
  <c r="L19" i="38"/>
  <c r="J19" i="38"/>
  <c r="H19" i="38"/>
  <c r="G19" i="38"/>
  <c r="F19" i="38"/>
  <c r="AA18" i="38"/>
  <c r="Z18" i="38"/>
  <c r="Y18" i="38"/>
  <c r="W18" i="38"/>
  <c r="U18" i="38"/>
  <c r="S18" i="38"/>
  <c r="Q18" i="38"/>
  <c r="P18" i="38"/>
  <c r="N18" i="38"/>
  <c r="L18" i="38"/>
  <c r="J18" i="38"/>
  <c r="H18" i="38"/>
  <c r="G18" i="38"/>
  <c r="F18" i="38"/>
  <c r="AA17" i="38"/>
  <c r="Z17" i="38"/>
  <c r="Y17" i="38"/>
  <c r="W17" i="38"/>
  <c r="U17" i="38"/>
  <c r="S17" i="38"/>
  <c r="Q17" i="38"/>
  <c r="P17" i="38"/>
  <c r="N17" i="38"/>
  <c r="L17" i="38"/>
  <c r="J17" i="38"/>
  <c r="H17" i="38"/>
  <c r="G17" i="38"/>
  <c r="F17" i="38"/>
  <c r="AA16" i="38"/>
  <c r="Z16" i="38"/>
  <c r="Y16" i="38"/>
  <c r="W16" i="38"/>
  <c r="U16" i="38"/>
  <c r="S16" i="38"/>
  <c r="Q16" i="38"/>
  <c r="P16" i="38"/>
  <c r="N16" i="38"/>
  <c r="L16" i="38"/>
  <c r="J16" i="38"/>
  <c r="H16" i="38"/>
  <c r="G16" i="38"/>
  <c r="F16" i="38"/>
  <c r="AA15" i="38"/>
  <c r="Z15" i="38"/>
  <c r="Y15" i="38"/>
  <c r="W15" i="38"/>
  <c r="U15" i="38"/>
  <c r="S15" i="38"/>
  <c r="Q15" i="38"/>
  <c r="P15" i="38"/>
  <c r="N15" i="38"/>
  <c r="L15" i="38"/>
  <c r="J15" i="38"/>
  <c r="H15" i="38"/>
  <c r="G15" i="38"/>
  <c r="F15" i="38"/>
  <c r="AA14" i="38"/>
  <c r="Z14" i="38"/>
  <c r="Y14" i="38"/>
  <c r="W14" i="38"/>
  <c r="U14" i="38"/>
  <c r="S14" i="38"/>
  <c r="Q14" i="38"/>
  <c r="P14" i="38"/>
  <c r="N14" i="38"/>
  <c r="L14" i="38"/>
  <c r="J14" i="38"/>
  <c r="H14" i="38"/>
  <c r="G14" i="38"/>
  <c r="F14" i="38"/>
  <c r="AA13" i="38"/>
  <c r="Z13" i="38"/>
  <c r="Y13" i="38"/>
  <c r="W13" i="38"/>
  <c r="U13" i="38"/>
  <c r="S13" i="38"/>
  <c r="Q13" i="38"/>
  <c r="P13" i="38"/>
  <c r="N13" i="38"/>
  <c r="L13" i="38"/>
  <c r="J13" i="38"/>
  <c r="H13" i="38"/>
  <c r="G13" i="38"/>
  <c r="F13" i="38"/>
  <c r="AA12" i="38"/>
  <c r="Z12" i="38"/>
  <c r="Y12" i="38"/>
  <c r="W12" i="38"/>
  <c r="U12" i="38"/>
  <c r="S12" i="38"/>
  <c r="Q12" i="38"/>
  <c r="P12" i="38"/>
  <c r="N12" i="38"/>
  <c r="L12" i="38"/>
  <c r="J12" i="38"/>
  <c r="H12" i="38"/>
  <c r="G12" i="38"/>
  <c r="F12" i="38"/>
  <c r="AA11" i="38"/>
  <c r="Z11" i="38"/>
  <c r="Y11" i="38"/>
  <c r="W11" i="38"/>
  <c r="U11" i="38"/>
  <c r="S11" i="38"/>
  <c r="Q11" i="38"/>
  <c r="P11" i="38"/>
  <c r="N11" i="38"/>
  <c r="L11" i="38"/>
  <c r="J11" i="38"/>
  <c r="H11" i="38"/>
  <c r="G11" i="38"/>
  <c r="F11" i="38"/>
  <c r="AA10" i="38"/>
  <c r="Z10" i="38"/>
  <c r="Y10" i="38"/>
  <c r="W10" i="38"/>
  <c r="U10" i="38"/>
  <c r="S10" i="38"/>
  <c r="Q10" i="38"/>
  <c r="P10" i="38"/>
  <c r="N10" i="38"/>
  <c r="L10" i="38"/>
  <c r="J10" i="38"/>
  <c r="H10" i="38"/>
  <c r="G10" i="38"/>
  <c r="F10" i="38"/>
  <c r="AA9" i="38"/>
  <c r="Z9" i="38"/>
  <c r="Y9" i="38"/>
  <c r="W9" i="38"/>
  <c r="U9" i="38"/>
  <c r="S9" i="38"/>
  <c r="Q9" i="38"/>
  <c r="P9" i="38"/>
  <c r="N9" i="38"/>
  <c r="L9" i="38"/>
  <c r="J9" i="38"/>
  <c r="H9" i="38"/>
  <c r="G9" i="38"/>
  <c r="F9" i="38"/>
  <c r="AA8" i="38"/>
  <c r="Z8" i="38"/>
  <c r="Y8" i="38"/>
  <c r="W8" i="38"/>
  <c r="U8" i="38"/>
  <c r="S8" i="38"/>
  <c r="Q8" i="38"/>
  <c r="P8" i="38"/>
  <c r="N8" i="38"/>
  <c r="L8" i="38"/>
  <c r="J8" i="38"/>
  <c r="H8" i="38"/>
  <c r="G8" i="38"/>
  <c r="F8" i="38"/>
  <c r="AA24" i="37"/>
  <c r="AA23" i="37"/>
  <c r="AA22" i="37"/>
  <c r="AA21" i="37"/>
  <c r="AA20" i="37"/>
  <c r="AA19" i="37"/>
  <c r="AA17" i="37"/>
  <c r="AA16" i="37"/>
  <c r="AA15" i="37"/>
  <c r="AA14" i="37"/>
  <c r="AA13" i="37"/>
  <c r="AA12" i="37"/>
  <c r="AA11" i="37"/>
  <c r="AA10" i="37"/>
  <c r="AA9" i="37"/>
  <c r="Z24" i="37"/>
  <c r="Z23" i="37"/>
  <c r="Z22" i="37"/>
  <c r="Z21" i="37"/>
  <c r="Z20" i="37"/>
  <c r="Z19" i="37"/>
  <c r="Z17" i="37"/>
  <c r="Z16" i="37"/>
  <c r="Z15" i="37"/>
  <c r="Z14" i="37"/>
  <c r="Z13" i="37"/>
  <c r="Z12" i="37"/>
  <c r="Z11" i="37"/>
  <c r="Z10" i="37"/>
  <c r="Z9" i="37"/>
  <c r="Y24" i="37"/>
  <c r="Y23" i="37"/>
  <c r="Y22" i="37"/>
  <c r="Y21" i="37"/>
  <c r="Y20" i="37"/>
  <c r="Y19" i="37"/>
  <c r="Y17" i="37"/>
  <c r="Y16" i="37"/>
  <c r="Y15" i="37"/>
  <c r="Y14" i="37"/>
  <c r="Y13" i="37"/>
  <c r="Y12" i="37"/>
  <c r="Y11" i="37"/>
  <c r="Y10" i="37"/>
  <c r="Y9" i="37"/>
  <c r="W24" i="37"/>
  <c r="W23" i="37"/>
  <c r="W22" i="37"/>
  <c r="W21" i="37"/>
  <c r="W20" i="37"/>
  <c r="W19" i="37"/>
  <c r="W17" i="37"/>
  <c r="W16" i="37"/>
  <c r="W15" i="37"/>
  <c r="W14" i="37"/>
  <c r="W13" i="37"/>
  <c r="W12" i="37"/>
  <c r="W11" i="37"/>
  <c r="W10" i="37"/>
  <c r="W9" i="37"/>
  <c r="U24" i="37"/>
  <c r="U23" i="37"/>
  <c r="U22" i="37"/>
  <c r="U21" i="37"/>
  <c r="U20" i="37"/>
  <c r="U19" i="37"/>
  <c r="U17" i="37"/>
  <c r="U16" i="37"/>
  <c r="U15" i="37"/>
  <c r="U14" i="37"/>
  <c r="U13" i="37"/>
  <c r="U12" i="37"/>
  <c r="U11" i="37"/>
  <c r="U10" i="37"/>
  <c r="U9" i="37"/>
  <c r="S24" i="37"/>
  <c r="S23" i="37"/>
  <c r="S22" i="37"/>
  <c r="S21" i="37"/>
  <c r="S20" i="37"/>
  <c r="S19" i="37"/>
  <c r="S17" i="37"/>
  <c r="S16" i="37"/>
  <c r="S15" i="37"/>
  <c r="S14" i="37"/>
  <c r="S13" i="37"/>
  <c r="S12" i="37"/>
  <c r="S11" i="37"/>
  <c r="S10" i="37"/>
  <c r="S9" i="37"/>
  <c r="Q24" i="37"/>
  <c r="Q23" i="37"/>
  <c r="Q22" i="37"/>
  <c r="Q21" i="37"/>
  <c r="Q20" i="37"/>
  <c r="Q19" i="37"/>
  <c r="R18" i="37"/>
  <c r="Q17" i="37"/>
  <c r="Q16" i="37"/>
  <c r="Q15" i="37"/>
  <c r="Q14" i="37"/>
  <c r="Q13" i="37"/>
  <c r="Q12" i="37"/>
  <c r="Q11" i="37"/>
  <c r="Q10" i="37"/>
  <c r="Q9" i="37"/>
  <c r="R8" i="37"/>
  <c r="P24" i="37"/>
  <c r="P23" i="37"/>
  <c r="P22" i="37"/>
  <c r="P21" i="37"/>
  <c r="P20" i="37"/>
  <c r="P19" i="37"/>
  <c r="P17" i="37"/>
  <c r="P16" i="37"/>
  <c r="P15" i="37"/>
  <c r="P14" i="37"/>
  <c r="P13" i="37"/>
  <c r="P12" i="37"/>
  <c r="P11" i="37"/>
  <c r="P10" i="37"/>
  <c r="P9" i="37"/>
  <c r="N24" i="37"/>
  <c r="N23" i="37"/>
  <c r="N22" i="37"/>
  <c r="N21" i="37"/>
  <c r="N20" i="37"/>
  <c r="N19" i="37"/>
  <c r="N17" i="37"/>
  <c r="N16" i="37"/>
  <c r="N15" i="37"/>
  <c r="N14" i="37"/>
  <c r="N13" i="37"/>
  <c r="N12" i="37"/>
  <c r="N11" i="37"/>
  <c r="N10" i="37"/>
  <c r="N9" i="37"/>
  <c r="L24" i="37"/>
  <c r="L23" i="37"/>
  <c r="L22" i="37"/>
  <c r="L21" i="37"/>
  <c r="L20" i="37"/>
  <c r="L19" i="37"/>
  <c r="L17" i="37"/>
  <c r="L16" i="37"/>
  <c r="L15" i="37"/>
  <c r="L14" i="37"/>
  <c r="L13" i="37"/>
  <c r="L12" i="37"/>
  <c r="L11" i="37"/>
  <c r="L10" i="37"/>
  <c r="L9" i="37"/>
  <c r="J24" i="37"/>
  <c r="J23" i="37"/>
  <c r="J22" i="37"/>
  <c r="J21" i="37"/>
  <c r="J20" i="37"/>
  <c r="J19" i="37"/>
  <c r="J17" i="37"/>
  <c r="J16" i="37"/>
  <c r="J15" i="37"/>
  <c r="J14" i="37"/>
  <c r="J13" i="37"/>
  <c r="J12" i="37"/>
  <c r="J11" i="37"/>
  <c r="J10" i="37"/>
  <c r="J9" i="37"/>
  <c r="H24" i="37"/>
  <c r="H23" i="37"/>
  <c r="H22" i="37"/>
  <c r="H21" i="37"/>
  <c r="H20" i="37"/>
  <c r="H19" i="37"/>
  <c r="I18" i="37"/>
  <c r="H17" i="37"/>
  <c r="H16" i="37"/>
  <c r="H15" i="37"/>
  <c r="H14" i="37"/>
  <c r="H13" i="37"/>
  <c r="H12" i="37"/>
  <c r="H11" i="37"/>
  <c r="H10" i="37"/>
  <c r="H9" i="37"/>
  <c r="I8" i="37"/>
  <c r="G24" i="37"/>
  <c r="G23" i="37"/>
  <c r="G22" i="37"/>
  <c r="G21" i="37"/>
  <c r="G20" i="37"/>
  <c r="G19" i="37"/>
  <c r="G17" i="37"/>
  <c r="G16" i="37"/>
  <c r="G15" i="37"/>
  <c r="G14" i="37"/>
  <c r="G13" i="37"/>
  <c r="G12" i="37"/>
  <c r="G11" i="37"/>
  <c r="G10" i="37"/>
  <c r="G9" i="37"/>
  <c r="F24" i="37"/>
  <c r="F23" i="37"/>
  <c r="F22" i="37"/>
  <c r="F21" i="37"/>
  <c r="F20" i="37"/>
  <c r="F19" i="37"/>
  <c r="F17" i="37"/>
  <c r="F16" i="37"/>
  <c r="F15" i="37"/>
  <c r="F14" i="37"/>
  <c r="F13" i="37"/>
  <c r="F12" i="37"/>
  <c r="F11" i="37"/>
  <c r="F10" i="37"/>
  <c r="F9" i="37"/>
  <c r="F62" i="44" l="1"/>
  <c r="R22" i="46"/>
  <c r="F53" i="44"/>
  <c r="M51" i="44"/>
  <c r="M69" i="44"/>
  <c r="M41" i="44"/>
  <c r="M67" i="44"/>
  <c r="F67" i="44"/>
  <c r="F40" i="44"/>
  <c r="M47" i="44"/>
  <c r="F68" i="44"/>
  <c r="F65" i="44"/>
  <c r="F41" i="44"/>
  <c r="F48" i="44"/>
  <c r="F42" i="44"/>
  <c r="F70" i="44"/>
  <c r="F74" i="44"/>
  <c r="F47" i="44"/>
  <c r="F43" i="44"/>
  <c r="F46" i="44"/>
  <c r="F72" i="44"/>
  <c r="I11" i="37"/>
  <c r="R14" i="37"/>
  <c r="M45" i="44"/>
  <c r="M65" i="44"/>
  <c r="F66" i="44"/>
  <c r="M63" i="44"/>
  <c r="M44" i="44"/>
  <c r="E14" i="44"/>
  <c r="F45" i="44"/>
  <c r="F69" i="44"/>
  <c r="E19" i="44"/>
  <c r="I20" i="37"/>
  <c r="R23" i="37"/>
  <c r="M43" i="44"/>
  <c r="M74" i="44"/>
  <c r="F51" i="44"/>
  <c r="M64" i="44"/>
  <c r="M72" i="44"/>
  <c r="F49" i="44"/>
  <c r="F71" i="44"/>
  <c r="M49" i="44"/>
  <c r="M70" i="44"/>
  <c r="M52" i="44"/>
  <c r="M66" i="44"/>
  <c r="I22" i="37"/>
  <c r="M46" i="44"/>
  <c r="F52" i="44"/>
  <c r="F73" i="44"/>
  <c r="F63" i="44"/>
  <c r="I13" i="37"/>
  <c r="R16" i="37"/>
  <c r="I9" i="37"/>
  <c r="I17" i="37"/>
  <c r="R12" i="37"/>
  <c r="R21" i="37"/>
  <c r="E18" i="44"/>
  <c r="F75" i="44"/>
  <c r="F64" i="44"/>
  <c r="F44" i="44"/>
  <c r="I14" i="37"/>
  <c r="R9" i="37"/>
  <c r="R17" i="37"/>
  <c r="I23" i="37"/>
  <c r="V11" i="37"/>
  <c r="M71" i="44"/>
  <c r="R20" i="37"/>
  <c r="M42" i="44"/>
  <c r="M50" i="44"/>
  <c r="M73" i="44"/>
  <c r="F50" i="44"/>
  <c r="I19" i="37"/>
  <c r="R22" i="37"/>
  <c r="I21" i="37"/>
  <c r="R24" i="37"/>
  <c r="R15" i="37"/>
  <c r="V19" i="37"/>
  <c r="I12" i="37"/>
  <c r="I16" i="37"/>
  <c r="I24" i="37"/>
  <c r="R11" i="37"/>
  <c r="R19" i="37"/>
  <c r="I10" i="37"/>
  <c r="R13" i="37"/>
  <c r="M13" i="37"/>
  <c r="M21" i="37"/>
  <c r="M68" i="44"/>
  <c r="M48" i="44"/>
  <c r="T24" i="46"/>
  <c r="O17" i="47"/>
  <c r="X24" i="47"/>
  <c r="V22" i="47"/>
  <c r="V23" i="47"/>
  <c r="O25" i="47"/>
  <c r="M16" i="47"/>
  <c r="V24" i="46"/>
  <c r="M22" i="46"/>
  <c r="O22" i="46"/>
  <c r="M23" i="46"/>
  <c r="M11" i="46"/>
  <c r="M15" i="46"/>
  <c r="M18" i="46"/>
  <c r="M19" i="46"/>
  <c r="O19" i="46"/>
  <c r="X14" i="46"/>
  <c r="T17" i="46"/>
  <c r="T21" i="46"/>
  <c r="M24" i="38"/>
  <c r="M25" i="38"/>
  <c r="K23" i="37"/>
  <c r="T13" i="37"/>
  <c r="T21" i="37"/>
  <c r="M13" i="38"/>
  <c r="T15" i="38"/>
  <c r="O24" i="47"/>
  <c r="I14" i="38"/>
  <c r="I18" i="38"/>
  <c r="T25" i="38"/>
  <c r="X14" i="47"/>
  <c r="O11" i="37"/>
  <c r="O19" i="37"/>
  <c r="X9" i="37"/>
  <c r="X17" i="37"/>
  <c r="X18" i="47"/>
  <c r="X22" i="47"/>
  <c r="V12" i="37"/>
  <c r="R22" i="47"/>
  <c r="K16" i="46"/>
  <c r="X18" i="46"/>
  <c r="X22" i="46"/>
  <c r="R21" i="47"/>
  <c r="I21" i="47"/>
  <c r="O16" i="47"/>
  <c r="X19" i="47"/>
  <c r="X23" i="47"/>
  <c r="K14" i="46"/>
  <c r="O15" i="46"/>
  <c r="K22" i="46"/>
  <c r="O23" i="46"/>
  <c r="R24" i="46"/>
  <c r="O10" i="46"/>
  <c r="T16" i="46"/>
  <c r="O20" i="46"/>
  <c r="T11" i="38"/>
  <c r="T17" i="38"/>
  <c r="I22" i="38"/>
  <c r="R14" i="46"/>
  <c r="O17" i="46"/>
  <c r="K20" i="46"/>
  <c r="V20" i="46"/>
  <c r="O21" i="46"/>
  <c r="K24" i="46"/>
  <c r="M10" i="38"/>
  <c r="X13" i="38"/>
  <c r="M14" i="38"/>
  <c r="O14" i="46"/>
  <c r="X24" i="46"/>
  <c r="X25" i="38"/>
  <c r="M12" i="46"/>
  <c r="M16" i="46"/>
  <c r="O8" i="46"/>
  <c r="O12" i="46"/>
  <c r="O16" i="46"/>
  <c r="T17" i="47"/>
  <c r="T22" i="47"/>
  <c r="V20" i="37"/>
  <c r="T16" i="47"/>
  <c r="M20" i="38"/>
  <c r="M21" i="38"/>
  <c r="R19" i="47"/>
  <c r="R10" i="37"/>
  <c r="T20" i="46"/>
  <c r="V16" i="46"/>
  <c r="X20" i="46"/>
  <c r="O21" i="47"/>
  <c r="K23" i="47"/>
  <c r="T24" i="47"/>
  <c r="X25" i="47"/>
  <c r="X17" i="38"/>
  <c r="X21" i="38"/>
  <c r="O8" i="47"/>
  <c r="I9" i="47"/>
  <c r="X9" i="47"/>
  <c r="I13" i="47"/>
  <c r="X13" i="47"/>
  <c r="I17" i="47"/>
  <c r="X17" i="47"/>
  <c r="M19" i="47"/>
  <c r="X21" i="47"/>
  <c r="I8" i="38"/>
  <c r="I10" i="38"/>
  <c r="M17" i="38"/>
  <c r="R16" i="46"/>
  <c r="X15" i="38"/>
  <c r="X19" i="38"/>
  <c r="X23" i="38"/>
  <c r="T13" i="38"/>
  <c r="O16" i="38"/>
  <c r="M8" i="46"/>
  <c r="M20" i="46"/>
  <c r="M24" i="46"/>
  <c r="K24" i="47"/>
  <c r="R8" i="47"/>
  <c r="R18" i="47"/>
  <c r="R20" i="47"/>
  <c r="X10" i="46"/>
  <c r="K15" i="47"/>
  <c r="T20" i="47"/>
  <c r="I25" i="47"/>
  <c r="V17" i="46"/>
  <c r="K18" i="46"/>
  <c r="R20" i="46"/>
  <c r="V21" i="46"/>
  <c r="M11" i="37"/>
  <c r="M19" i="37"/>
  <c r="V9" i="37"/>
  <c r="V17" i="37"/>
  <c r="M12" i="38"/>
  <c r="M16" i="38"/>
  <c r="T9" i="46"/>
  <c r="X13" i="46"/>
  <c r="X17" i="46"/>
  <c r="X21" i="46"/>
  <c r="O12" i="38"/>
  <c r="T19" i="38"/>
  <c r="O20" i="38"/>
  <c r="T23" i="38"/>
  <c r="O24" i="38"/>
  <c r="I8" i="46"/>
  <c r="M10" i="46"/>
  <c r="I12" i="46"/>
  <c r="M14" i="46"/>
  <c r="I16" i="46"/>
  <c r="I18" i="46"/>
  <c r="T19" i="46"/>
  <c r="I20" i="46"/>
  <c r="I22" i="46"/>
  <c r="I24" i="46"/>
  <c r="I12" i="38"/>
  <c r="I20" i="38"/>
  <c r="I24" i="38"/>
  <c r="R8" i="46"/>
  <c r="O13" i="46"/>
  <c r="R18" i="46"/>
  <c r="M8" i="47"/>
  <c r="X11" i="47"/>
  <c r="M12" i="47"/>
  <c r="X15" i="47"/>
  <c r="M20" i="47"/>
  <c r="M24" i="47"/>
  <c r="O23" i="38"/>
  <c r="O12" i="47"/>
  <c r="O20" i="47"/>
  <c r="M18" i="38"/>
  <c r="M22" i="38"/>
  <c r="O10" i="38"/>
  <c r="O14" i="38"/>
  <c r="O18" i="38"/>
  <c r="O22" i="38"/>
  <c r="X10" i="47"/>
  <c r="R24" i="47"/>
  <c r="M11" i="47"/>
  <c r="R11" i="47"/>
  <c r="K13" i="47"/>
  <c r="I16" i="38"/>
  <c r="T21" i="38"/>
  <c r="V10" i="46"/>
  <c r="K11" i="46"/>
  <c r="V14" i="46"/>
  <c r="K15" i="46"/>
  <c r="V18" i="46"/>
  <c r="K19" i="46"/>
  <c r="V19" i="46"/>
  <c r="V22" i="46"/>
  <c r="K23" i="46"/>
  <c r="I8" i="47"/>
  <c r="T11" i="47"/>
  <c r="I12" i="47"/>
  <c r="I14" i="47"/>
  <c r="T15" i="47"/>
  <c r="I16" i="47"/>
  <c r="I20" i="47"/>
  <c r="I22" i="47"/>
  <c r="T23" i="47"/>
  <c r="I24" i="47"/>
  <c r="K11" i="37"/>
  <c r="K19" i="37"/>
  <c r="T9" i="37"/>
  <c r="T17" i="37"/>
  <c r="X13" i="37"/>
  <c r="X21" i="37"/>
  <c r="I14" i="46"/>
  <c r="K8" i="47"/>
  <c r="K12" i="47"/>
  <c r="K16" i="47"/>
  <c r="K20" i="47"/>
  <c r="M8" i="38"/>
  <c r="O9" i="38"/>
  <c r="X11" i="38"/>
  <c r="O8" i="38"/>
  <c r="O18" i="46"/>
  <c r="X16" i="46"/>
  <c r="M23" i="37"/>
  <c r="V13" i="37"/>
  <c r="V21" i="37"/>
  <c r="M11" i="38"/>
  <c r="O9" i="46"/>
  <c r="T10" i="46"/>
  <c r="I11" i="46"/>
  <c r="T14" i="46"/>
  <c r="I15" i="46"/>
  <c r="T18" i="46"/>
  <c r="I19" i="46"/>
  <c r="T22" i="46"/>
  <c r="I23" i="46"/>
  <c r="V9" i="46"/>
  <c r="R9" i="46"/>
  <c r="T11" i="46"/>
  <c r="R13" i="46"/>
  <c r="T15" i="46"/>
  <c r="R17" i="46"/>
  <c r="R21" i="46"/>
  <c r="V23" i="46"/>
  <c r="O24" i="46"/>
  <c r="I10" i="46"/>
  <c r="T13" i="46"/>
  <c r="K10" i="46"/>
  <c r="V13" i="46"/>
  <c r="R10" i="46"/>
  <c r="M9" i="46"/>
  <c r="M13" i="46"/>
  <c r="M17" i="46"/>
  <c r="M21" i="46"/>
  <c r="X8" i="47"/>
  <c r="X16" i="47"/>
  <c r="X20" i="47"/>
  <c r="V20" i="47"/>
  <c r="M9" i="47"/>
  <c r="R12" i="47"/>
  <c r="R16" i="47"/>
  <c r="M10" i="47"/>
  <c r="M14" i="47"/>
  <c r="M18" i="47"/>
  <c r="M22" i="47"/>
  <c r="O22" i="47"/>
  <c r="R11" i="46"/>
  <c r="R15" i="46"/>
  <c r="O11" i="46"/>
  <c r="R12" i="46"/>
  <c r="X9" i="46"/>
  <c r="R23" i="46"/>
  <c r="T23" i="46"/>
  <c r="R19" i="46"/>
  <c r="K13" i="37"/>
  <c r="K21" i="37"/>
  <c r="T11" i="37"/>
  <c r="T19" i="37"/>
  <c r="K10" i="38"/>
  <c r="T10" i="38"/>
  <c r="V14" i="38"/>
  <c r="M13" i="47"/>
  <c r="M17" i="47"/>
  <c r="T19" i="47"/>
  <c r="M21" i="47"/>
  <c r="M25" i="47"/>
  <c r="M12" i="37"/>
  <c r="M20" i="37"/>
  <c r="V10" i="37"/>
  <c r="V18" i="37"/>
  <c r="I9" i="38"/>
  <c r="X9" i="38"/>
  <c r="I13" i="38"/>
  <c r="K15" i="38"/>
  <c r="I17" i="38"/>
  <c r="K19" i="38"/>
  <c r="I21" i="38"/>
  <c r="M23" i="38"/>
  <c r="I25" i="38"/>
  <c r="O9" i="47"/>
  <c r="V11" i="47"/>
  <c r="O13" i="47"/>
  <c r="V15" i="47"/>
  <c r="V19" i="47"/>
  <c r="K9" i="38"/>
  <c r="R11" i="38"/>
  <c r="K13" i="38"/>
  <c r="R13" i="38"/>
  <c r="R15" i="38"/>
  <c r="K17" i="38"/>
  <c r="R17" i="38"/>
  <c r="R19" i="38"/>
  <c r="K21" i="38"/>
  <c r="R23" i="38"/>
  <c r="K25" i="38"/>
  <c r="R25" i="38"/>
  <c r="O12" i="37"/>
  <c r="O20" i="37"/>
  <c r="X10" i="37"/>
  <c r="X11" i="37"/>
  <c r="X19" i="37"/>
  <c r="M9" i="38"/>
  <c r="O13" i="38"/>
  <c r="V15" i="38"/>
  <c r="V19" i="38"/>
  <c r="V23" i="38"/>
  <c r="K8" i="46"/>
  <c r="X8" i="46"/>
  <c r="V11" i="46"/>
  <c r="K12" i="46"/>
  <c r="X12" i="46"/>
  <c r="V15" i="46"/>
  <c r="X11" i="46"/>
  <c r="X15" i="46"/>
  <c r="X19" i="46"/>
  <c r="X23" i="46"/>
  <c r="T14" i="47"/>
  <c r="V18" i="47"/>
  <c r="K12" i="37"/>
  <c r="K20" i="37"/>
  <c r="T10" i="37"/>
  <c r="T18" i="37"/>
  <c r="K9" i="47"/>
  <c r="R9" i="47"/>
  <c r="R13" i="47"/>
  <c r="R15" i="47"/>
  <c r="K17" i="47"/>
  <c r="R17" i="47"/>
  <c r="K21" i="47"/>
  <c r="R23" i="47"/>
  <c r="K25" i="47"/>
  <c r="R25" i="47"/>
  <c r="B111" i="44"/>
  <c r="B109" i="44"/>
  <c r="B110" i="44"/>
  <c r="T8" i="46"/>
  <c r="T12" i="46"/>
  <c r="O13" i="37"/>
  <c r="O21" i="37"/>
  <c r="R14" i="38"/>
  <c r="V8" i="46"/>
  <c r="V12" i="46"/>
  <c r="O10" i="47"/>
  <c r="O14" i="47"/>
  <c r="O18" i="47"/>
  <c r="C111" i="44"/>
  <c r="C110" i="44"/>
  <c r="C109" i="44"/>
  <c r="T14" i="37"/>
  <c r="M8" i="37"/>
  <c r="M16" i="37"/>
  <c r="M24" i="37"/>
  <c r="V14" i="37"/>
  <c r="V22" i="37"/>
  <c r="I23" i="38"/>
  <c r="R18" i="38"/>
  <c r="R22" i="38"/>
  <c r="R10" i="47"/>
  <c r="V12" i="47"/>
  <c r="R14" i="47"/>
  <c r="V16" i="47"/>
  <c r="V24" i="47"/>
  <c r="K24" i="37"/>
  <c r="T22" i="37"/>
  <c r="X14" i="38"/>
  <c r="M19" i="38"/>
  <c r="I9" i="46"/>
  <c r="I13" i="46"/>
  <c r="I17" i="46"/>
  <c r="I21" i="46"/>
  <c r="K8" i="37"/>
  <c r="M10" i="37"/>
  <c r="M18" i="37"/>
  <c r="O8" i="37"/>
  <c r="O16" i="37"/>
  <c r="O24" i="37"/>
  <c r="V8" i="37"/>
  <c r="V16" i="37"/>
  <c r="V24" i="37"/>
  <c r="X14" i="37"/>
  <c r="X22" i="37"/>
  <c r="M15" i="38"/>
  <c r="R21" i="38"/>
  <c r="K9" i="46"/>
  <c r="K13" i="46"/>
  <c r="K17" i="46"/>
  <c r="K21" i="46"/>
  <c r="K16" i="37"/>
  <c r="T9" i="38"/>
  <c r="C104" i="44"/>
  <c r="C103" i="44"/>
  <c r="C105" i="44"/>
  <c r="K11" i="47"/>
  <c r="V9" i="47"/>
  <c r="V13" i="47"/>
  <c r="V25" i="47"/>
  <c r="E26" i="44"/>
  <c r="K15" i="37"/>
  <c r="M14" i="37"/>
  <c r="M22" i="37"/>
  <c r="X18" i="37"/>
  <c r="M15" i="37"/>
  <c r="O15" i="37"/>
  <c r="O23" i="37"/>
  <c r="I15" i="37"/>
  <c r="K9" i="37"/>
  <c r="K17" i="37"/>
  <c r="T15" i="37"/>
  <c r="T23" i="37"/>
  <c r="M9" i="37"/>
  <c r="M17" i="37"/>
  <c r="V15" i="37"/>
  <c r="V23" i="37"/>
  <c r="X15" i="37"/>
  <c r="X23" i="37"/>
  <c r="E17" i="44"/>
  <c r="E22" i="44"/>
  <c r="E10" i="44"/>
  <c r="E23" i="44"/>
  <c r="M23" i="47"/>
  <c r="O23" i="47"/>
  <c r="M15" i="47"/>
  <c r="I18" i="47"/>
  <c r="T8" i="47"/>
  <c r="I15" i="47"/>
  <c r="I19" i="47"/>
  <c r="K22" i="47"/>
  <c r="K19" i="47"/>
  <c r="I10" i="47"/>
  <c r="K10" i="47"/>
  <c r="O11" i="47"/>
  <c r="K14" i="47"/>
  <c r="O15" i="47"/>
  <c r="K18" i="47"/>
  <c r="O19" i="47"/>
  <c r="K14" i="38"/>
  <c r="K18" i="38"/>
  <c r="K22" i="38"/>
  <c r="R9" i="38"/>
  <c r="R10" i="38"/>
  <c r="V11" i="38"/>
  <c r="X24" i="38"/>
  <c r="E16" i="44"/>
  <c r="E11" i="44"/>
  <c r="O9" i="37"/>
  <c r="O17" i="37"/>
  <c r="K14" i="37"/>
  <c r="K22" i="37"/>
  <c r="O10" i="37"/>
  <c r="O18" i="37"/>
  <c r="T12" i="37"/>
  <c r="T20" i="37"/>
  <c r="X8" i="37"/>
  <c r="X16" i="37"/>
  <c r="X24" i="37"/>
  <c r="K10" i="37"/>
  <c r="K18" i="37"/>
  <c r="O14" i="37"/>
  <c r="O22" i="37"/>
  <c r="T8" i="37"/>
  <c r="T16" i="37"/>
  <c r="T24" i="37"/>
  <c r="X12" i="37"/>
  <c r="X20" i="37"/>
  <c r="E13" i="44"/>
  <c r="E24" i="44"/>
  <c r="E12" i="44"/>
  <c r="E25" i="44"/>
  <c r="E15" i="44"/>
  <c r="E20" i="44"/>
  <c r="E21" i="44"/>
  <c r="E27" i="44"/>
  <c r="V8" i="47"/>
  <c r="T12" i="47"/>
  <c r="X12" i="47"/>
  <c r="T10" i="47"/>
  <c r="V10" i="47"/>
  <c r="T18" i="47"/>
  <c r="I11" i="47"/>
  <c r="V14" i="47"/>
  <c r="I23" i="47"/>
  <c r="T9" i="47"/>
  <c r="T13" i="47"/>
  <c r="T21" i="47"/>
  <c r="T25" i="47"/>
  <c r="V17" i="47"/>
  <c r="V21" i="47"/>
  <c r="K11" i="38"/>
  <c r="V9" i="38"/>
  <c r="V13" i="38"/>
  <c r="V17" i="38"/>
  <c r="T18" i="38"/>
  <c r="V21" i="38"/>
  <c r="T22" i="38"/>
  <c r="V25" i="38"/>
  <c r="K8" i="38"/>
  <c r="V8" i="38"/>
  <c r="K12" i="38"/>
  <c r="V12" i="38"/>
  <c r="K16" i="38"/>
  <c r="T16" i="38"/>
  <c r="O17" i="38"/>
  <c r="K20" i="38"/>
  <c r="V20" i="38"/>
  <c r="O21" i="38"/>
  <c r="K24" i="38"/>
  <c r="O25" i="38"/>
  <c r="X22" i="38"/>
  <c r="X12" i="38"/>
  <c r="V16" i="38"/>
  <c r="V18" i="38"/>
  <c r="X20" i="38"/>
  <c r="T12" i="38"/>
  <c r="V10" i="38"/>
  <c r="T14" i="38"/>
  <c r="X10" i="38"/>
  <c r="X16" i="38"/>
  <c r="T20" i="38"/>
  <c r="T24" i="38"/>
  <c r="T8" i="38"/>
  <c r="X8" i="38"/>
  <c r="X18" i="38"/>
  <c r="O11" i="38"/>
  <c r="O15" i="38"/>
  <c r="O19" i="38"/>
  <c r="R24" i="38"/>
  <c r="R8" i="38"/>
  <c r="R12" i="38"/>
  <c r="R16" i="38"/>
  <c r="R20" i="38"/>
  <c r="V24" i="38"/>
  <c r="I11" i="38"/>
  <c r="I15" i="38"/>
  <c r="I19" i="38"/>
  <c r="K23" i="38"/>
  <c r="V22" i="38"/>
  <c r="L13" i="44"/>
  <c r="L19" i="44"/>
  <c r="L22" i="44"/>
  <c r="L26" i="44"/>
  <c r="L14" i="44"/>
  <c r="L25" i="44"/>
  <c r="L23" i="44"/>
  <c r="L15" i="44" l="1"/>
  <c r="L20" i="44"/>
  <c r="L12" i="44"/>
  <c r="L17" i="44"/>
  <c r="L10" i="44"/>
  <c r="L16" i="44"/>
  <c r="L18" i="44"/>
  <c r="L11" i="44"/>
  <c r="L21" i="44"/>
  <c r="K7" i="30"/>
  <c r="D11" i="30" l="1"/>
  <c r="O80" i="44" l="1"/>
  <c r="K80" i="44"/>
  <c r="G80" i="44"/>
  <c r="C80" i="44"/>
  <c r="B103" i="44" l="1"/>
  <c r="B105" i="44"/>
  <c r="B104" i="44"/>
  <c r="S149" i="4"/>
  <c r="F149" i="4"/>
  <c r="H49" i="4"/>
  <c r="B7" i="30" s="1"/>
  <c r="G99" i="4"/>
  <c r="G7" i="6" s="1"/>
  <c r="V199" i="4"/>
  <c r="E24" i="30" s="1"/>
  <c r="O149" i="4"/>
  <c r="U174" i="4"/>
  <c r="K23" i="30" s="1"/>
  <c r="E174" i="4"/>
  <c r="N124" i="4"/>
  <c r="I19" i="2" s="1"/>
  <c r="G174" i="4"/>
  <c r="K6" i="30" s="1"/>
  <c r="S124" i="4"/>
  <c r="F24" i="4"/>
  <c r="G124" i="4"/>
  <c r="I7" i="2" s="1"/>
  <c r="U74" i="4"/>
  <c r="G27" i="2" s="1"/>
  <c r="S174" i="4"/>
  <c r="M74" i="4"/>
  <c r="M24" i="4"/>
  <c r="H124" i="4"/>
  <c r="J7" i="30" s="1"/>
  <c r="K99" i="4"/>
  <c r="C12" i="30" s="1"/>
  <c r="U199" i="4"/>
  <c r="K27" i="6" s="1"/>
  <c r="O99" i="4"/>
  <c r="E149" i="4"/>
  <c r="V149" i="4"/>
  <c r="I28" i="6" s="1"/>
  <c r="N199" i="4"/>
  <c r="K19" i="6" s="1"/>
  <c r="S49" i="4"/>
  <c r="E26" i="6" s="1"/>
  <c r="Q99" i="4"/>
  <c r="C18" i="30" s="1"/>
  <c r="O199" i="4"/>
  <c r="H174" i="4"/>
  <c r="K10" i="2" s="1"/>
  <c r="O74" i="4"/>
  <c r="K74" i="4"/>
  <c r="G15" i="2" s="1"/>
  <c r="N24" i="4"/>
  <c r="E19" i="2" s="1"/>
  <c r="J149" i="4"/>
  <c r="I13" i="6" s="1"/>
  <c r="V49" i="4"/>
  <c r="B24" i="30" s="1"/>
  <c r="M99" i="4"/>
  <c r="G19" i="6" s="1"/>
  <c r="E199" i="4"/>
  <c r="I149" i="4"/>
  <c r="L49" i="4"/>
  <c r="B13" i="30" s="1"/>
  <c r="J99" i="4"/>
  <c r="G13" i="6" s="1"/>
  <c r="H149" i="4"/>
  <c r="I10" i="6" s="1"/>
  <c r="M49" i="4"/>
  <c r="E19" i="6" s="1"/>
  <c r="O49" i="4"/>
  <c r="S99" i="4"/>
  <c r="G26" i="6" s="1"/>
  <c r="G74" i="4"/>
  <c r="I6" i="30" s="1"/>
  <c r="F74" i="4"/>
  <c r="L124" i="4"/>
  <c r="J13" i="30" s="1"/>
  <c r="I24" i="4"/>
  <c r="S24" i="4"/>
  <c r="E26" i="2" s="1"/>
  <c r="K199" i="4"/>
  <c r="E12" i="30" s="1"/>
  <c r="U99" i="4"/>
  <c r="C23" i="30" s="1"/>
  <c r="N99" i="4"/>
  <c r="Q74" i="4"/>
  <c r="I18" i="30" s="1"/>
  <c r="H24" i="4"/>
  <c r="H7" i="30" s="1"/>
  <c r="T174" i="4"/>
  <c r="K26" i="2" s="1"/>
  <c r="V174" i="4"/>
  <c r="K28" i="2" s="1"/>
  <c r="Q149" i="4"/>
  <c r="I22" i="6" s="1"/>
  <c r="R174" i="4"/>
  <c r="K24" i="2" s="1"/>
  <c r="K24" i="4"/>
  <c r="H12" i="30" s="1"/>
  <c r="J199" i="4"/>
  <c r="P24" i="4"/>
  <c r="H17" i="30" s="1"/>
  <c r="J124" i="4"/>
  <c r="J11" i="30" s="1"/>
  <c r="T24" i="4"/>
  <c r="E74" i="4"/>
  <c r="G149" i="4"/>
  <c r="I7" i="6" s="1"/>
  <c r="Q199" i="4"/>
  <c r="E18" i="30" s="1"/>
  <c r="R199" i="4"/>
  <c r="E49" i="4"/>
  <c r="R49" i="4"/>
  <c r="B19" i="30" s="1"/>
  <c r="V74" i="4"/>
  <c r="G28" i="2" s="1"/>
  <c r="U24" i="4"/>
  <c r="E27" i="2" s="1"/>
  <c r="J74" i="4"/>
  <c r="I11" i="30" s="1"/>
  <c r="N174" i="4"/>
  <c r="K19" i="2" s="1"/>
  <c r="K174" i="4"/>
  <c r="K12" i="30" s="1"/>
  <c r="Q124" i="4"/>
  <c r="I22" i="2" s="1"/>
  <c r="T199" i="4"/>
  <c r="K26" i="6" s="1"/>
  <c r="L149" i="4"/>
  <c r="D13" i="30" s="1"/>
  <c r="F99" i="4"/>
  <c r="T99" i="4"/>
  <c r="H199" i="4"/>
  <c r="E99" i="4"/>
  <c r="M199" i="4"/>
  <c r="R74" i="4"/>
  <c r="I19" i="30" s="1"/>
  <c r="U124" i="4"/>
  <c r="J23" i="30" s="1"/>
  <c r="P74" i="4"/>
  <c r="I17" i="30" s="1"/>
  <c r="O174" i="4"/>
  <c r="F174" i="4"/>
  <c r="K149" i="4"/>
  <c r="I15" i="6" s="1"/>
  <c r="I99" i="4"/>
  <c r="F199" i="4"/>
  <c r="T149" i="4"/>
  <c r="I26" i="6" s="1"/>
  <c r="H99" i="4"/>
  <c r="C7" i="30" s="1"/>
  <c r="G49" i="4"/>
  <c r="B6" i="30" s="1"/>
  <c r="Q49" i="4"/>
  <c r="B18" i="30" s="1"/>
  <c r="G24" i="4"/>
  <c r="H6" i="30" s="1"/>
  <c r="N74" i="4"/>
  <c r="G19" i="2" s="1"/>
  <c r="T124" i="4"/>
  <c r="I26" i="2" s="1"/>
  <c r="P124" i="4"/>
  <c r="J17" i="30" s="1"/>
  <c r="V24" i="4"/>
  <c r="H24" i="30" s="1"/>
  <c r="I124" i="4"/>
  <c r="Q24" i="4"/>
  <c r="H18" i="30" s="1"/>
  <c r="R149" i="4"/>
  <c r="I24" i="6" s="1"/>
  <c r="U49" i="4"/>
  <c r="B23" i="30" s="1"/>
  <c r="L99" i="4"/>
  <c r="C13" i="30" s="1"/>
  <c r="U149" i="4"/>
  <c r="I27" i="6" s="1"/>
  <c r="N49" i="4"/>
  <c r="P99" i="4"/>
  <c r="C17" i="30" s="1"/>
  <c r="N149" i="4"/>
  <c r="I19" i="6" s="1"/>
  <c r="J49" i="4"/>
  <c r="B11" i="30" s="1"/>
  <c r="V124" i="4"/>
  <c r="I28" i="2" s="1"/>
  <c r="P149" i="4"/>
  <c r="D17" i="30" s="1"/>
  <c r="L24" i="4"/>
  <c r="H13" i="30" s="1"/>
  <c r="P174" i="4"/>
  <c r="K17" i="30" s="1"/>
  <c r="R24" i="4"/>
  <c r="H19" i="30" s="1"/>
  <c r="H74" i="4"/>
  <c r="G10" i="2" s="1"/>
  <c r="M124" i="4"/>
  <c r="I49" i="4"/>
  <c r="G199" i="4"/>
  <c r="E6" i="30" s="1"/>
  <c r="V99" i="4"/>
  <c r="G28" i="6" s="1"/>
  <c r="T49" i="4"/>
  <c r="P199" i="4"/>
  <c r="M149" i="4"/>
  <c r="L199" i="4"/>
  <c r="S199" i="4"/>
  <c r="P49" i="4"/>
  <c r="B17" i="30" s="1"/>
  <c r="K49" i="4"/>
  <c r="E15" i="6" s="1"/>
  <c r="T74" i="4"/>
  <c r="I174" i="4"/>
  <c r="M174" i="4"/>
  <c r="L174" i="4"/>
  <c r="K17" i="2" s="1"/>
  <c r="I74" i="4"/>
  <c r="F124" i="4"/>
  <c r="E24" i="4"/>
  <c r="J174" i="4"/>
  <c r="K11" i="30" s="1"/>
  <c r="J24" i="4"/>
  <c r="H11" i="30" s="1"/>
  <c r="I199" i="4"/>
  <c r="F49" i="4"/>
  <c r="R124" i="4"/>
  <c r="I24" i="2" s="1"/>
  <c r="E124" i="4"/>
  <c r="Q174" i="4"/>
  <c r="K22" i="2" s="1"/>
  <c r="S74" i="4"/>
  <c r="G26" i="2" s="1"/>
  <c r="O124" i="4"/>
  <c r="O24" i="4"/>
  <c r="R99" i="4"/>
  <c r="C19" i="30" s="1"/>
  <c r="L74" i="4"/>
  <c r="G17" i="2" s="1"/>
  <c r="K124" i="4"/>
  <c r="J12" i="30" s="1"/>
  <c r="C24" i="30" l="1"/>
  <c r="J24" i="2"/>
  <c r="I15" i="2"/>
  <c r="J15" i="2" s="1"/>
  <c r="F15" i="6"/>
  <c r="K15" i="2"/>
  <c r="L15" i="2" s="1"/>
  <c r="E13" i="6"/>
  <c r="F13" i="6" s="1"/>
  <c r="J22" i="6"/>
  <c r="L17" i="2"/>
  <c r="K13" i="30"/>
  <c r="G20" i="2"/>
  <c r="H20" i="2" s="1"/>
  <c r="E17" i="6"/>
  <c r="F17" i="6" s="1"/>
  <c r="I20" i="6"/>
  <c r="J20" i="6" s="1"/>
  <c r="I13" i="2"/>
  <c r="J13" i="2" s="1"/>
  <c r="J19" i="30"/>
  <c r="D23" i="30"/>
  <c r="G10" i="6"/>
  <c r="H13" i="6"/>
  <c r="I17" i="6"/>
  <c r="J17" i="6" s="1"/>
  <c r="E20" i="2"/>
  <c r="F20" i="2" s="1"/>
  <c r="K20" i="2"/>
  <c r="L20" i="2" s="1"/>
  <c r="E27" i="6"/>
  <c r="H23" i="30"/>
  <c r="K27" i="2"/>
  <c r="J24" i="6"/>
  <c r="E7" i="2"/>
  <c r="D12" i="30"/>
  <c r="D6" i="30"/>
  <c r="G24" i="6"/>
  <c r="H24" i="6" s="1"/>
  <c r="E20" i="6"/>
  <c r="F20" i="6" s="1"/>
  <c r="J24" i="30"/>
  <c r="G17" i="6"/>
  <c r="H17" i="6" s="1"/>
  <c r="I27" i="2"/>
  <c r="I17" i="2"/>
  <c r="J17" i="2" s="1"/>
  <c r="C6" i="30"/>
  <c r="G24" i="2"/>
  <c r="H24" i="2" s="1"/>
  <c r="J18" i="30"/>
  <c r="G27" i="6"/>
  <c r="C11" i="30"/>
  <c r="E24" i="6"/>
  <c r="F24" i="6" s="1"/>
  <c r="G22" i="6"/>
  <c r="H22" i="6" s="1"/>
  <c r="E13" i="2"/>
  <c r="F13" i="2" s="1"/>
  <c r="K17" i="6"/>
  <c r="L17" i="6" s="1"/>
  <c r="G13" i="2"/>
  <c r="H13" i="2" s="1"/>
  <c r="E10" i="2"/>
  <c r="J6" i="30"/>
  <c r="H17" i="2"/>
  <c r="H15" i="2"/>
  <c r="I10" i="2"/>
  <c r="K28" i="6"/>
  <c r="L22" i="2"/>
  <c r="K20" i="6"/>
  <c r="L20" i="6" s="1"/>
  <c r="E22" i="2"/>
  <c r="F22" i="2" s="1"/>
  <c r="L24" i="2"/>
  <c r="G22" i="2"/>
  <c r="H22" i="2" s="1"/>
  <c r="J15" i="6"/>
  <c r="J13" i="6"/>
  <c r="J22" i="2"/>
  <c r="K10" i="6"/>
  <c r="D19" i="30"/>
  <c r="K19" i="30"/>
  <c r="K7" i="2"/>
  <c r="E10" i="6"/>
  <c r="I7" i="30"/>
  <c r="E17" i="2"/>
  <c r="F17" i="2" s="1"/>
  <c r="G20" i="6"/>
  <c r="H20" i="6" s="1"/>
  <c r="I20" i="2"/>
  <c r="J20" i="2" s="1"/>
  <c r="I24" i="30"/>
  <c r="K13" i="6"/>
  <c r="L13" i="6" s="1"/>
  <c r="K15" i="6"/>
  <c r="L15" i="6" s="1"/>
  <c r="E7" i="30"/>
  <c r="E28" i="6"/>
  <c r="E11" i="30"/>
  <c r="D18" i="30"/>
  <c r="G15" i="6"/>
  <c r="H15" i="6" s="1"/>
  <c r="I12" i="30"/>
  <c r="E13" i="30"/>
  <c r="K13" i="2"/>
  <c r="L13" i="2" s="1"/>
  <c r="E24" i="2"/>
  <c r="F24" i="2" s="1"/>
  <c r="E22" i="6"/>
  <c r="F22" i="6" s="1"/>
  <c r="B12" i="30"/>
  <c r="E15" i="2"/>
  <c r="F15" i="2" s="1"/>
  <c r="E17" i="30"/>
  <c r="I23" i="30"/>
  <c r="K22" i="6"/>
  <c r="L22" i="6" s="1"/>
  <c r="E19" i="30"/>
  <c r="I13" i="30"/>
  <c r="E28" i="2"/>
  <c r="E7" i="6"/>
  <c r="K24" i="6"/>
  <c r="L24" i="6" s="1"/>
  <c r="K24" i="30"/>
  <c r="G7" i="2"/>
  <c r="D7" i="30"/>
  <c r="D24" i="30"/>
  <c r="E23" i="30"/>
  <c r="K7" i="6"/>
  <c r="K18" i="30"/>
</calcChain>
</file>

<file path=xl/sharedStrings.xml><?xml version="1.0" encoding="utf-8"?>
<sst xmlns="http://schemas.openxmlformats.org/spreadsheetml/2006/main" count="3469" uniqueCount="213">
  <si>
    <t xml:space="preserve">Reporting hospital </t>
  </si>
  <si>
    <t>Local consultant</t>
  </si>
  <si>
    <t xml:space="preserve">Visiting specialist </t>
  </si>
  <si>
    <t>DNA Rate (%)</t>
  </si>
  <si>
    <t>Q1</t>
  </si>
  <si>
    <t>Q2</t>
  </si>
  <si>
    <t>Q3</t>
  </si>
  <si>
    <t>Q4</t>
  </si>
  <si>
    <t xml:space="preserve">Q1 </t>
  </si>
  <si>
    <t>Local Consultant</t>
  </si>
  <si>
    <t xml:space="preserve">Visiting Consultant </t>
  </si>
  <si>
    <t>Adults</t>
  </si>
  <si>
    <t xml:space="preserve">Paediatrics </t>
  </si>
  <si>
    <t>Contents</t>
  </si>
  <si>
    <t>Unit</t>
  </si>
  <si>
    <t>NOTE</t>
  </si>
  <si>
    <t>Data accurate as of date of provision</t>
  </si>
  <si>
    <t>Visiting Consultant</t>
  </si>
  <si>
    <t>Adults / Paediatrics</t>
  </si>
  <si>
    <t>England / Wales</t>
  </si>
  <si>
    <t>Adult</t>
  </si>
  <si>
    <t>England</t>
  </si>
  <si>
    <t>Wales</t>
  </si>
  <si>
    <t>Paediatric</t>
  </si>
  <si>
    <t xml:space="preserve">New Outpatient Wait Times </t>
  </si>
  <si>
    <r>
      <rPr>
        <b/>
        <sz val="11"/>
        <color theme="0"/>
        <rFont val="Calibri"/>
        <family val="2"/>
        <scheme val="minor"/>
      </rPr>
      <t>Local Consultant</t>
    </r>
    <r>
      <rPr>
        <sz val="11"/>
        <color theme="0"/>
        <rFont val="Calibri"/>
        <family val="2"/>
        <scheme val="minor"/>
      </rPr>
      <t xml:space="preserve"> Wait (weeks) for new patients</t>
    </r>
  </si>
  <si>
    <r>
      <rPr>
        <b/>
        <sz val="11"/>
        <color theme="0"/>
        <rFont val="Calibri"/>
        <family val="2"/>
        <scheme val="minor"/>
      </rPr>
      <t>Visiting Specialist</t>
    </r>
    <r>
      <rPr>
        <sz val="11"/>
        <color theme="0"/>
        <rFont val="Calibri"/>
        <family val="2"/>
        <scheme val="minor"/>
      </rPr>
      <t xml:space="preserve"> Wait (weeks) for new patients</t>
    </r>
  </si>
  <si>
    <t xml:space="preserve">Follow up Backlogs </t>
  </si>
  <si>
    <t>3-5 mths (%)</t>
  </si>
  <si>
    <t>6-11 mths (%)</t>
  </si>
  <si>
    <t>≥12 mths (%)</t>
  </si>
  <si>
    <r>
      <t xml:space="preserve">Visiting Specialist Consultant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</si>
  <si>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r>
      <t xml:space="preserve">Local Consultant 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</si>
  <si>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t xml:space="preserve">Total </t>
  </si>
  <si>
    <t>3 to 5 months</t>
  </si>
  <si>
    <t>6 to 11 months</t>
  </si>
  <si>
    <t>≥12 months</t>
  </si>
  <si>
    <t>3-5 mnth</t>
  </si>
  <si>
    <t>6 -11 mnth</t>
  </si>
  <si>
    <t>≥12mnt</t>
  </si>
  <si>
    <t>Visiting consultant</t>
  </si>
  <si>
    <t>DNA rates (%)</t>
  </si>
  <si>
    <t>New OP wait (weeks)for new patients</t>
  </si>
  <si>
    <t xml:space="preserve">Follow-up Backlog (overdue follow-up backlogs - end of reporting quarter) </t>
  </si>
  <si>
    <t xml:space="preserve">New Outpatient Wait times (weeks) </t>
  </si>
  <si>
    <t>New Outpatient Wait Times (weeks)</t>
  </si>
  <si>
    <t>Q2 - Jul to Sep</t>
  </si>
  <si>
    <t>Q1 - Apr to Jun</t>
  </si>
  <si>
    <t>Q3 - Oct to Dec</t>
  </si>
  <si>
    <t>Q4 - Jan to Mar</t>
  </si>
  <si>
    <t>CHDN Red Colour</t>
  </si>
  <si>
    <r>
      <t xml:space="preserve">South Wales and South West 
</t>
    </r>
    <r>
      <rPr>
        <b/>
        <sz val="22"/>
        <color theme="0"/>
        <rFont val="Calibri"/>
        <family val="2"/>
        <scheme val="minor"/>
      </rPr>
      <t>Congential Heart Disease Network</t>
    </r>
  </si>
  <si>
    <t xml:space="preserve">Swindon, Great Weston Hospital </t>
  </si>
  <si>
    <t xml:space="preserve">Adults </t>
  </si>
  <si>
    <t xml:space="preserve">Torquay, Torbay General District Hospital </t>
  </si>
  <si>
    <t xml:space="preserve"> </t>
  </si>
  <si>
    <t>Gloucester, Gloucestershire Hospitals</t>
  </si>
  <si>
    <t xml:space="preserve">Taunton, Musgrove Park Hospital </t>
  </si>
  <si>
    <t xml:space="preserve">Barnstaple, North Devon District Hospital </t>
  </si>
  <si>
    <t xml:space="preserve">Bath, Royal United Hospital </t>
  </si>
  <si>
    <t xml:space="preserve">Exeter, Royal Devon and Exeter Hospital </t>
  </si>
  <si>
    <t xml:space="preserve">Plymouth, Derriford Hospital </t>
  </si>
  <si>
    <t xml:space="preserve">Truro, Royal Cornwall Hospital </t>
  </si>
  <si>
    <t xml:space="preserve">ADULT </t>
  </si>
  <si>
    <t>PAEDIATRICS</t>
  </si>
  <si>
    <t>Unit Level</t>
  </si>
  <si>
    <r>
      <t>Unit level Year to Date:</t>
    </r>
    <r>
      <rPr>
        <b/>
        <sz val="14"/>
        <color theme="0"/>
        <rFont val="Calibri"/>
        <family val="2"/>
      </rPr>
      <t xml:space="preserve"> Paediatric Outpatients </t>
    </r>
  </si>
  <si>
    <t xml:space="preserve">Paediatrics - Local consultant </t>
  </si>
  <si>
    <t xml:space="preserve">Paediatrics - Visiting consultant </t>
  </si>
  <si>
    <t xml:space="preserve">DNA </t>
  </si>
  <si>
    <t xml:space="preserve">ADULT local consultant </t>
  </si>
  <si>
    <t xml:space="preserve">ADULT visiting consultant </t>
  </si>
  <si>
    <t xml:space="preserve">Paediatrics Local Consultant </t>
  </si>
  <si>
    <t xml:space="preserve">Paediatrics Visiting Consultant </t>
  </si>
  <si>
    <t xml:space="preserve">Paediatrics DNA </t>
  </si>
  <si>
    <t xml:space="preserve">DNA Range </t>
  </si>
  <si>
    <t xml:space="preserve">Visiting consultant </t>
  </si>
  <si>
    <t>DNA Range</t>
  </si>
  <si>
    <t>≥18 wks</t>
  </si>
  <si>
    <t>13-17 wks</t>
  </si>
  <si>
    <t>≤12 wks</t>
  </si>
  <si>
    <t>≥20%</t>
  </si>
  <si>
    <t>10-19%</t>
  </si>
  <si>
    <t>&lt;10%</t>
  </si>
  <si>
    <t>≥50%</t>
  </si>
  <si>
    <t>&lt;50%</t>
  </si>
  <si>
    <t>RAG RATINGS: Set by Network</t>
  </si>
  <si>
    <t>For more information on rag ratings please click here</t>
  </si>
  <si>
    <r>
      <t>Unit level Year to Date:</t>
    </r>
    <r>
      <rPr>
        <b/>
        <sz val="14"/>
        <color theme="0"/>
        <rFont val="Calibri"/>
        <family val="2"/>
      </rPr>
      <t xml:space="preserve"> Adults Outpatients </t>
    </r>
  </si>
  <si>
    <t xml:space="preserve">Drop downs </t>
  </si>
  <si>
    <r>
      <rPr>
        <b/>
        <sz val="11"/>
        <color theme="1"/>
        <rFont val="Calibri"/>
        <family val="2"/>
        <scheme val="minor"/>
      </rPr>
      <t>Adults</t>
    </r>
    <r>
      <rPr>
        <sz val="11"/>
        <color theme="1"/>
        <rFont val="Calibri"/>
        <family val="2"/>
        <scheme val="minor"/>
      </rPr>
      <t xml:space="preserve"> - Local consultant </t>
    </r>
  </si>
  <si>
    <t xml:space="preserve">Adults - Visiting consultant </t>
  </si>
  <si>
    <t xml:space="preserve">Adults DNA </t>
  </si>
  <si>
    <t>3-5 months</t>
  </si>
  <si>
    <t>6 -11 months</t>
  </si>
  <si>
    <t>Return to Contents</t>
  </si>
  <si>
    <r>
      <rPr>
        <sz val="18"/>
        <color theme="0"/>
        <rFont val="Calibri"/>
        <family val="2"/>
      </rPr>
      <t>South Wales and South West  CHD Network</t>
    </r>
    <r>
      <rPr>
        <b/>
        <sz val="18"/>
        <color theme="0"/>
        <rFont val="Calibri"/>
        <family val="2"/>
      </rPr>
      <t xml:space="preserve"> Outpatients Dashboard Graphs </t>
    </r>
  </si>
  <si>
    <t xml:space="preserve">Number of overdue follow-up backlogs at the end of the quarter </t>
  </si>
  <si>
    <t xml:space="preserve">DNA Rate (%) </t>
  </si>
  <si>
    <t xml:space="preserve">Adult Services </t>
  </si>
  <si>
    <t>Click on the relevant box to be taken to the page</t>
  </si>
  <si>
    <t xml:space="preserve">South Wales and South West CHD Network  </t>
  </si>
  <si>
    <t xml:space="preserve">Quarterly Dashboards </t>
  </si>
  <si>
    <t>Adult Services</t>
  </si>
  <si>
    <t xml:space="preserve">Graphs </t>
  </si>
  <si>
    <t xml:space="preserve">Year to Date Dashboards </t>
  </si>
  <si>
    <t xml:space="preserve">Wait (weeks) for new patients to receive a first appointment with local and visiting consultant at the end of this quarter.  </t>
  </si>
  <si>
    <t xml:space="preserve">Graph 2 Number of overdue follow-up backlogs at the end of the quarter </t>
  </si>
  <si>
    <t xml:space="preserve">Graph 3 DNA Rate (%) </t>
  </si>
  <si>
    <t xml:space="preserve">Year to Date graphs </t>
  </si>
  <si>
    <t>Reporting Quarter</t>
  </si>
  <si>
    <t>Reporting Year</t>
  </si>
  <si>
    <t>Adults/Paeds</t>
  </si>
  <si>
    <t>0-2 mnth</t>
  </si>
  <si>
    <t>Total Follow up</t>
  </si>
  <si>
    <t>Total overdue &gt;3 mnth</t>
  </si>
  <si>
    <t>Total Overdue &gt;3 mnth</t>
  </si>
  <si>
    <t>0-2 mths (%)</t>
  </si>
  <si>
    <t>Total follow-up</t>
  </si>
  <si>
    <t xml:space="preserve">Outpatient reporting template description </t>
  </si>
  <si>
    <t xml:space="preserve">Measure definitiation </t>
  </si>
  <si>
    <t>Targets</t>
  </si>
  <si>
    <t xml:space="preserve">Proposed changes </t>
  </si>
  <si>
    <t>Waiting time (weeks) for new patients (local consultant and visiting specialist) at end of reporting quarter</t>
  </si>
  <si>
    <t>Local consultant: Waiting time (weeks) for new routine patients (local consultant)</t>
  </si>
  <si>
    <t>≥18wks</t>
  </si>
  <si>
    <t>12-18wks</t>
  </si>
  <si>
    <t>≤12wks</t>
  </si>
  <si>
    <t xml:space="preserve">Red, Amber and Green targets based on NHS England RTT targets. Please note that WHSSC/NHS Wales performance RTT target is 16 weeks </t>
  </si>
  <si>
    <t>Visiting specialist: Waiting time (weeks) for new routine patients</t>
  </si>
  <si>
    <t>Overdue Follow up backlogs - local consultant at end of reporting quarter</t>
  </si>
  <si>
    <t>Total no. of overdue follow ups (local consultant)</t>
  </si>
  <si>
    <t>No. &amp; % of overdue follow ups; 3-5 months</t>
  </si>
  <si>
    <t>No. &amp; % of overdue follow ups; 6-12 months</t>
  </si>
  <si>
    <r>
      <t xml:space="preserve">No. &amp; % of overdue follow ups; </t>
    </r>
    <r>
      <rPr>
        <sz val="11"/>
        <color theme="1"/>
        <rFont val="Calibri"/>
        <family val="2"/>
      </rPr>
      <t>≥12</t>
    </r>
    <r>
      <rPr>
        <sz val="11"/>
        <color theme="1"/>
        <rFont val="Calibri"/>
        <family val="2"/>
        <scheme val="minor"/>
      </rPr>
      <t xml:space="preserve"> months</t>
    </r>
  </si>
  <si>
    <t>n/a</t>
  </si>
  <si>
    <t xml:space="preserve">Previously measures follow up waiting times, wide variation on how this was measured, often an estimate. Easier for providers to access total nos. in follow up backlog </t>
  </si>
  <si>
    <t>Overdue Follow up backlogs - visiting specialist at end of reporting quarter</t>
  </si>
  <si>
    <t>DNA rate (%) - local consultant for reporting quarter</t>
  </si>
  <si>
    <t>DNA rate (%) - visiting specialist for reporting quarter</t>
  </si>
  <si>
    <t xml:space="preserve">% of patients/appointments recorded as a DNA local consultant appointment </t>
  </si>
  <si>
    <t xml:space="preserve">% of patients/appointments recorded as a DNA visiting specialist appointment </t>
  </si>
  <si>
    <t xml:space="preserve">Previously this had been merged into one figure for DNA rate that merged DNA rates for both local consultant and visiting consultant. New dashboard seperates this out. </t>
  </si>
  <si>
    <t>Adults DNA</t>
  </si>
  <si>
    <t>For further information please contact;</t>
  </si>
  <si>
    <t>Paediatric Services</t>
  </si>
  <si>
    <t>Paediatrics DNA</t>
  </si>
  <si>
    <t xml:space="preserve">When ordering select the whole of the orange box with the black outline. </t>
  </si>
  <si>
    <t>Follow the instructions in red for how to order each table</t>
  </si>
  <si>
    <t xml:space="preserve">If you need the centres to return to the same order as the dashboard, order by the numbers in the first column of the table </t>
  </si>
  <si>
    <t>Rachel Burrows, CHD Network Support Manager  (Rachel.Burrows2@uhbw.nhs.uk)</t>
  </si>
  <si>
    <t>GRAPH DATA Q1</t>
  </si>
  <si>
    <t>Total Overdue Follow up</t>
  </si>
  <si>
    <t xml:space="preserve">Select your unit here:  </t>
  </si>
  <si>
    <t xml:space="preserve">Select your unit here: </t>
  </si>
  <si>
    <t>No data</t>
  </si>
  <si>
    <t xml:space="preserve">Order each table by the total value (initially high to low so N/A at top) and then rest by low to high </t>
  </si>
  <si>
    <t>Aneurin Bevan UHB, Nevill Hall &amp; Royal Gwent Hospitals</t>
  </si>
  <si>
    <t>Cardiff &amp; Vale UHB, Noah’s Ark / University Hospital Wales</t>
  </si>
  <si>
    <t>Cwm Taf Morgannwg UHB, Princess of Wales Hospital</t>
  </si>
  <si>
    <t xml:space="preserve">Cwm Taf Morgannwg UHB, Royal Glamorgan Hospital </t>
  </si>
  <si>
    <t>Cwm Taf Morgannwg UHB, Prince Charles Hospital</t>
  </si>
  <si>
    <t>Swansea Bay UHB, Morriston / Singleton Hospitals</t>
  </si>
  <si>
    <t>------------------------------</t>
  </si>
  <si>
    <t>Bristol, Bristol Heart Institute / Bristol Royal Hospital for Children</t>
  </si>
  <si>
    <t>Hywel Dda UHB, Glangwilli Hospital</t>
  </si>
  <si>
    <t>Hywel Dda UHB, Withybush Hospital</t>
  </si>
  <si>
    <t>Total Overdue</t>
  </si>
  <si>
    <t xml:space="preserve">Overdue Follow-up Backlogs </t>
  </si>
  <si>
    <r>
      <rPr>
        <i/>
        <sz val="11"/>
        <color theme="0"/>
        <rFont val="Calibri"/>
        <family val="2"/>
        <scheme val="minor"/>
      </rPr>
      <t xml:space="preserve">Note: Bristol and Cardiff </t>
    </r>
    <r>
      <rPr>
        <b/>
        <i/>
        <sz val="11"/>
        <color theme="0"/>
        <rFont val="Calibri"/>
        <family val="2"/>
        <scheme val="minor"/>
      </rPr>
      <t>do not</t>
    </r>
    <r>
      <rPr>
        <i/>
        <sz val="11"/>
        <color theme="0"/>
        <rFont val="Calibri"/>
        <family val="2"/>
        <scheme val="minor"/>
      </rPr>
      <t xml:space="preserve"> have visiting consultants</t>
    </r>
  </si>
  <si>
    <t>Low</t>
  </si>
  <si>
    <t>Median</t>
  </si>
  <si>
    <t>High</t>
  </si>
  <si>
    <t>This Quarter (calculated)</t>
  </si>
  <si>
    <t>Calculated from tables above</t>
  </si>
  <si>
    <t>Transfer calculated values into table below (type or 'PasteAsValues')</t>
  </si>
  <si>
    <t>Transfer calculated values into table below (type manually or 'PasteAsValues')</t>
  </si>
  <si>
    <t>Adults Outpatients Dashboard: Reporting period:  Q4 (Jan - Mar 2021)</t>
  </si>
  <si>
    <t>Paediatrics Outpatients Dashboard: Reporting period:  Q4 (Jan - Mar 2021)</t>
  </si>
  <si>
    <t>Quarter 4 (Jan - Mar) 2021/22</t>
  </si>
  <si>
    <t>GRAPH DATA Q4</t>
  </si>
  <si>
    <t>Total 3+</t>
  </si>
  <si>
    <t xml:space="preserve">Total 3+ </t>
  </si>
  <si>
    <t>GRAPH DATA Q3</t>
  </si>
  <si>
    <t>GRAPH DATA Q2</t>
  </si>
  <si>
    <t>Paediatrics</t>
  </si>
  <si>
    <t xml:space="preserve">Order each table by the % value (initially high to low so N/A at top) and then rest by low to high </t>
  </si>
  <si>
    <t xml:space="preserve">Outpatients Dashboard 2022/23 </t>
  </si>
  <si>
    <r>
      <t xml:space="preserve">Adults Outpatients Dashboard: </t>
    </r>
    <r>
      <rPr>
        <sz val="18"/>
        <color indexed="8"/>
        <rFont val="Calibri"/>
        <family val="2"/>
      </rPr>
      <t>Reporting period:  Q1 (Apr - Jun 2022) - Please note that this is a mid-quarter snapshot</t>
    </r>
  </si>
  <si>
    <r>
      <t xml:space="preserve">Paediatrics Outpatients Dashboard: </t>
    </r>
    <r>
      <rPr>
        <sz val="18"/>
        <color indexed="8"/>
        <rFont val="Calibri"/>
        <family val="2"/>
      </rPr>
      <t>Reporting period:  Q1 (Apr - Jun 2022) - Please note that this is a mid-quarter snapshot</t>
    </r>
  </si>
  <si>
    <t>Quarter 1 (Apr - Jun) 2022/23</t>
  </si>
  <si>
    <t>Q1 (Apr-Jun '22)</t>
  </si>
  <si>
    <t>Q2 (Jul-Sept '22)</t>
  </si>
  <si>
    <t>Q3 (Oct- Dec'22)</t>
  </si>
  <si>
    <t xml:space="preserve">Q4 (Jan-Mar'23) </t>
  </si>
  <si>
    <t xml:space="preserve">Q1 - Apr to Jun </t>
  </si>
  <si>
    <t>Bristol, Bristol Heart Institute</t>
  </si>
  <si>
    <t>N/A</t>
  </si>
  <si>
    <t xml:space="preserve">Bristol, Bristol Royal Hospital for Children </t>
  </si>
  <si>
    <t xml:space="preserve">Q2 - Jul to Sep </t>
  </si>
  <si>
    <t>Quarter 2 (Jul - Sep) 2022/23</t>
  </si>
  <si>
    <t>Paediatrics Outpatients Dashboard: Reporting period:  Q2 (Jul - Sep 2022)</t>
  </si>
  <si>
    <t>Adults Outpatients Dashboard: Reporting period:  Q2 (Jul - Sep 2022)</t>
  </si>
  <si>
    <t>Adults Outpatients Dashboard: Reporting period:  Q3 (Oct - Dec 2022)</t>
  </si>
  <si>
    <t xml:space="preserve">Q3 - Oct to Dec </t>
  </si>
  <si>
    <t>na</t>
  </si>
  <si>
    <t>Quarter 3 (Oct - Dec) 2022/23</t>
  </si>
  <si>
    <t>Paediatrics Outpatients Dashboard: Reporting period:  Q3 (Oct - Dec 2022)</t>
  </si>
  <si>
    <t>Bristol Royal Hospital for Children</t>
  </si>
  <si>
    <t>University Hospital Wales</t>
  </si>
  <si>
    <t>Cardiff &amp; Vale UHB, Noah’s Ark</t>
  </si>
  <si>
    <t xml:space="preserve"> Bristol Royal Hospital for Children</t>
  </si>
  <si>
    <t xml:space="preserve">Bristol, Bristol Heart Institute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</si>
</sst>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0%\)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sz val="10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0"/>
      <name val="Calibri"/>
      <family val="2"/>
    </font>
    <font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7C2855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  <font>
      <b/>
      <u/>
      <sz val="11"/>
      <color indexed="8"/>
      <name val="Calibri"/>
      <family val="2"/>
    </font>
    <font>
      <sz val="11"/>
      <color theme="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8"/>
      <color theme="0"/>
      <name val="Calibri"/>
      <family val="2"/>
    </font>
    <font>
      <sz val="11"/>
      <color rgb="FF1F497D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11"/>
      <color rgb="FF9C6500"/>
      <name val="Calibri"/>
      <family val="2"/>
    </font>
    <font>
      <b/>
      <sz val="11"/>
      <color indexed="8"/>
      <name val="Calibri"/>
      <family val="2"/>
    </font>
    <font>
      <i/>
      <u/>
      <sz val="11"/>
      <color rgb="FF7C2855"/>
      <name val="Calibri"/>
      <family val="2"/>
      <scheme val="minor"/>
    </font>
    <font>
      <b/>
      <sz val="18"/>
      <color rgb="FF7C2855"/>
      <name val="Calibri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u/>
      <sz val="14"/>
      <color theme="0"/>
      <name val="Calibri"/>
      <family val="2"/>
      <scheme val="minor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 Light"/>
      <family val="2"/>
    </font>
    <font>
      <b/>
      <u/>
      <sz val="12"/>
      <color theme="0"/>
      <name val="Calibri Light"/>
      <family val="2"/>
    </font>
    <font>
      <b/>
      <u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rgb="FF1F497D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rgb="FFF1D3E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2307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</fills>
  <borders count="69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n">
        <color rgb="FF7C2855"/>
      </left>
      <right/>
      <top style="thin">
        <color rgb="FF7C2855"/>
      </top>
      <bottom/>
      <diagonal/>
    </border>
    <border>
      <left/>
      <right/>
      <top style="thin">
        <color rgb="FF7C2855"/>
      </top>
      <bottom/>
      <diagonal/>
    </border>
    <border>
      <left/>
      <right style="thin">
        <color rgb="FF7C2855"/>
      </right>
      <top style="thin">
        <color rgb="FF7C2855"/>
      </top>
      <bottom/>
      <diagonal/>
    </border>
    <border>
      <left style="thin">
        <color rgb="FF7C2855"/>
      </left>
      <right/>
      <top/>
      <bottom/>
      <diagonal/>
    </border>
    <border>
      <left/>
      <right style="thin">
        <color rgb="FF7C2855"/>
      </right>
      <top/>
      <bottom/>
      <diagonal/>
    </border>
    <border>
      <left style="thin">
        <color rgb="FF7C2855"/>
      </left>
      <right/>
      <top/>
      <bottom style="thin">
        <color rgb="FF7C2855"/>
      </bottom>
      <diagonal/>
    </border>
    <border>
      <left/>
      <right/>
      <top/>
      <bottom style="thin">
        <color rgb="FF7C2855"/>
      </bottom>
      <diagonal/>
    </border>
    <border>
      <left/>
      <right style="thin">
        <color rgb="FF7C2855"/>
      </right>
      <top/>
      <bottom style="thin">
        <color rgb="FF7C2855"/>
      </bottom>
      <diagonal/>
    </border>
    <border>
      <left style="thick">
        <color theme="0"/>
      </left>
      <right/>
      <top style="thick">
        <color theme="0"/>
      </top>
      <bottom style="hair">
        <color theme="0" tint="-0.34998626667073579"/>
      </bottom>
      <diagonal/>
    </border>
    <border>
      <left/>
      <right/>
      <top style="thick">
        <color theme="0"/>
      </top>
      <bottom style="hair">
        <color theme="0" tint="-0.34998626667073579"/>
      </bottom>
      <diagonal/>
    </border>
    <border>
      <left/>
      <right style="thick">
        <color theme="0"/>
      </right>
      <top style="thick">
        <color theme="0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ck">
        <color theme="0"/>
      </right>
      <top style="hair">
        <color theme="0" tint="-0.34998626667073579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thick">
        <color theme="0"/>
      </bottom>
      <diagonal/>
    </border>
    <border>
      <left/>
      <right/>
      <top style="hair">
        <color theme="0" tint="-0.34998626667073579"/>
      </top>
      <bottom style="thick">
        <color theme="0"/>
      </bottom>
      <diagonal/>
    </border>
    <border>
      <left/>
      <right style="thick">
        <color theme="0"/>
      </right>
      <top style="hair">
        <color theme="0" tint="-0.34998626667073579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ck">
        <color theme="0"/>
      </right>
      <top style="hair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theme="1" tint="0.24994659260841701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27" fillId="0" borderId="0"/>
    <xf numFmtId="9" fontId="1" fillId="0" borderId="0" applyFont="0" applyFill="0" applyBorder="0" applyAlignment="0" applyProtection="0"/>
  </cellStyleXfs>
  <cellXfs count="46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2" fillId="6" borderId="0" xfId="0" applyFont="1" applyFill="1"/>
    <xf numFmtId="0" fontId="0" fillId="8" borderId="0" xfId="0" applyFill="1"/>
    <xf numFmtId="0" fontId="0" fillId="12" borderId="0" xfId="0" applyFill="1" applyAlignment="1">
      <alignment vertical="top"/>
    </xf>
    <xf numFmtId="0" fontId="0" fillId="12" borderId="0" xfId="0" applyFill="1"/>
    <xf numFmtId="9" fontId="3" fillId="0" borderId="0" xfId="1" applyNumberFormat="1" applyFont="1" applyAlignment="1" applyProtection="1">
      <alignment vertical="top"/>
      <protection hidden="1"/>
    </xf>
    <xf numFmtId="9" fontId="3" fillId="0" borderId="0" xfId="1" applyNumberFormat="1" applyFont="1" applyAlignment="1" applyProtection="1">
      <alignment horizontal="left" vertical="top"/>
      <protection hidden="1"/>
    </xf>
    <xf numFmtId="9" fontId="21" fillId="0" borderId="0" xfId="1" applyNumberFormat="1" applyFont="1" applyProtection="1">
      <protection hidden="1"/>
    </xf>
    <xf numFmtId="9" fontId="24" fillId="0" borderId="0" xfId="1" applyNumberFormat="1" applyFont="1" applyProtection="1">
      <protection hidden="1"/>
    </xf>
    <xf numFmtId="9" fontId="21" fillId="0" borderId="0" xfId="1" applyNumberFormat="1" applyFont="1" applyFill="1" applyBorder="1" applyProtection="1">
      <protection hidden="1"/>
    </xf>
    <xf numFmtId="9" fontId="4" fillId="0" borderId="0" xfId="1" applyNumberFormat="1" applyFont="1" applyFill="1" applyBorder="1" applyAlignment="1" applyProtection="1">
      <alignment horizontal="center" vertical="center"/>
      <protection hidden="1"/>
    </xf>
    <xf numFmtId="9" fontId="21" fillId="0" borderId="0" xfId="1" applyNumberFormat="1" applyFont="1" applyFill="1" applyProtection="1">
      <protection hidden="1"/>
    </xf>
    <xf numFmtId="1" fontId="25" fillId="0" borderId="0" xfId="1" applyNumberFormat="1" applyFont="1" applyProtection="1">
      <protection hidden="1"/>
    </xf>
    <xf numFmtId="2" fontId="21" fillId="0" borderId="0" xfId="1" applyNumberFormat="1" applyFont="1" applyProtection="1">
      <protection hidden="1"/>
    </xf>
    <xf numFmtId="0" fontId="23" fillId="0" borderId="0" xfId="0" applyFont="1" applyFill="1" applyBorder="1" applyProtection="1">
      <protection hidden="1"/>
    </xf>
    <xf numFmtId="0" fontId="23" fillId="0" borderId="0" xfId="0" applyFont="1" applyProtection="1">
      <protection hidden="1"/>
    </xf>
    <xf numFmtId="0" fontId="0" fillId="0" borderId="0" xfId="0" applyAlignment="1">
      <alignment horizontal="center" vertical="center" wrapText="1"/>
    </xf>
    <xf numFmtId="0" fontId="6" fillId="12" borderId="1" xfId="0" applyFont="1" applyFill="1" applyBorder="1" applyAlignment="1">
      <alignment horizontal="left" vertical="center" wrapText="1" indent="1"/>
    </xf>
    <xf numFmtId="0" fontId="6" fillId="13" borderId="1" xfId="0" applyFont="1" applyFill="1" applyBorder="1" applyAlignment="1">
      <alignment horizontal="left" vertical="center" wrapText="1" indent="1"/>
    </xf>
    <xf numFmtId="0" fontId="6" fillId="12" borderId="1" xfId="2" applyFont="1" applyFill="1" applyBorder="1" applyAlignment="1">
      <alignment horizontal="left" vertical="center" wrapText="1" indent="1"/>
    </xf>
    <xf numFmtId="0" fontId="6" fillId="13" borderId="1" xfId="2" applyFont="1" applyFill="1" applyBorder="1" applyAlignment="1">
      <alignment horizontal="left" vertical="center" wrapText="1" indent="1"/>
    </xf>
    <xf numFmtId="0" fontId="6" fillId="13" borderId="1" xfId="3" applyFont="1" applyFill="1" applyBorder="1" applyAlignment="1">
      <alignment horizontal="left" vertical="center" wrapText="1" indent="1"/>
    </xf>
    <xf numFmtId="0" fontId="6" fillId="12" borderId="1" xfId="4" applyFont="1" applyFill="1" applyBorder="1" applyAlignment="1">
      <alignment horizontal="left" vertical="center" wrapText="1" indent="1"/>
    </xf>
    <xf numFmtId="0" fontId="6" fillId="13" borderId="1" xfId="4" applyFont="1" applyFill="1" applyBorder="1" applyAlignment="1">
      <alignment horizontal="left" vertical="center" wrapText="1" indent="1"/>
    </xf>
    <xf numFmtId="0" fontId="6" fillId="12" borderId="1" xfId="3" applyFont="1" applyFill="1" applyBorder="1" applyAlignment="1">
      <alignment horizontal="left" vertical="center" wrapText="1" indent="1"/>
    </xf>
    <xf numFmtId="0" fontId="0" fillId="0" borderId="0" xfId="0"/>
    <xf numFmtId="0" fontId="2" fillId="0" borderId="0" xfId="0" applyFont="1"/>
    <xf numFmtId="0" fontId="2" fillId="12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Font="1"/>
    <xf numFmtId="0" fontId="0" fillId="12" borderId="0" xfId="0" applyFont="1" applyFill="1"/>
    <xf numFmtId="0" fontId="0" fillId="0" borderId="0" xfId="0" applyFill="1"/>
    <xf numFmtId="9" fontId="31" fillId="0" borderId="0" xfId="1" applyNumberFormat="1" applyFont="1" applyAlignment="1" applyProtection="1">
      <protection hidden="1"/>
    </xf>
    <xf numFmtId="0" fontId="29" fillId="7" borderId="3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 wrapText="1"/>
    </xf>
    <xf numFmtId="0" fontId="33" fillId="0" borderId="0" xfId="0" applyFont="1" applyAlignment="1">
      <alignment vertical="center"/>
    </xf>
    <xf numFmtId="1" fontId="0" fillId="0" borderId="0" xfId="0" applyNumberFormat="1" applyFill="1" applyAlignment="1">
      <alignment horizontal="center" vertical="center" wrapText="1"/>
    </xf>
    <xf numFmtId="0" fontId="7" fillId="14" borderId="0" xfId="0" applyFont="1" applyFill="1" applyAlignment="1">
      <alignment horizontal="center" vertical="center"/>
    </xf>
    <xf numFmtId="0" fontId="7" fillId="14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6" fillId="12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2" borderId="1" xfId="2" applyFont="1" applyFill="1" applyBorder="1" applyAlignment="1">
      <alignment horizontal="center" vertical="center" wrapText="1"/>
    </xf>
    <xf numFmtId="0" fontId="6" fillId="13" borderId="1" xfId="2" applyFont="1" applyFill="1" applyBorder="1" applyAlignment="1">
      <alignment horizontal="center" vertical="center" wrapText="1"/>
    </xf>
    <xf numFmtId="0" fontId="6" fillId="13" borderId="1" xfId="3" applyFont="1" applyFill="1" applyBorder="1" applyAlignment="1">
      <alignment horizontal="center" vertical="center" wrapText="1"/>
    </xf>
    <xf numFmtId="0" fontId="6" fillId="12" borderId="1" xfId="4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6" fillId="12" borderId="1" xfId="3" applyFont="1" applyFill="1" applyBorder="1" applyAlignment="1">
      <alignment horizontal="center" vertical="center" wrapText="1"/>
    </xf>
    <xf numFmtId="1" fontId="22" fillId="12" borderId="38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2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2" borderId="45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2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0" fontId="29" fillId="7" borderId="53" xfId="0" applyFont="1" applyFill="1" applyBorder="1" applyAlignment="1">
      <alignment horizontal="center" vertical="center" wrapText="1"/>
    </xf>
    <xf numFmtId="0" fontId="2" fillId="15" borderId="0" xfId="0" applyFont="1" applyFill="1"/>
    <xf numFmtId="0" fontId="0" fillId="15" borderId="0" xfId="0" applyFill="1"/>
    <xf numFmtId="0" fontId="33" fillId="0" borderId="0" xfId="0" applyFont="1" applyFill="1" applyAlignment="1">
      <alignment vertical="center"/>
    </xf>
    <xf numFmtId="1" fontId="29" fillId="0" borderId="0" xfId="0" applyNumberFormat="1" applyFont="1" applyFill="1" applyAlignment="1">
      <alignment horizontal="center" vertical="center" wrapText="1"/>
    </xf>
    <xf numFmtId="0" fontId="2" fillId="12" borderId="0" xfId="0" applyFont="1" applyFill="1" applyAlignment="1">
      <alignment horizontal="left" vertical="center" wrapText="1"/>
    </xf>
    <xf numFmtId="0" fontId="0" fillId="5" borderId="0" xfId="0" applyFill="1"/>
    <xf numFmtId="0" fontId="20" fillId="0" borderId="0" xfId="0" applyFont="1" applyFill="1"/>
    <xf numFmtId="0" fontId="17" fillId="6" borderId="0" xfId="0" applyFont="1" applyFill="1" applyAlignment="1">
      <alignment vertical="center"/>
    </xf>
    <xf numFmtId="0" fontId="41" fillId="6" borderId="0" xfId="0" applyFont="1" applyFill="1" applyAlignment="1">
      <alignment vertical="center"/>
    </xf>
    <xf numFmtId="0" fontId="0" fillId="0" borderId="19" xfId="0" applyBorder="1" applyAlignment="1">
      <alignment vertical="center"/>
    </xf>
    <xf numFmtId="9" fontId="32" fillId="8" borderId="0" xfId="1" applyNumberFormat="1" applyFont="1" applyFill="1" applyAlignment="1" applyProtection="1">
      <alignment vertical="center"/>
      <protection hidden="1"/>
    </xf>
    <xf numFmtId="9" fontId="3" fillId="8" borderId="0" xfId="1" applyNumberFormat="1" applyFont="1" applyFill="1" applyAlignment="1" applyProtection="1">
      <alignment vertical="top"/>
      <protection hidden="1"/>
    </xf>
    <xf numFmtId="0" fontId="0" fillId="8" borderId="0" xfId="0" applyFont="1" applyFill="1"/>
    <xf numFmtId="9" fontId="10" fillId="8" borderId="0" xfId="1" applyNumberFormat="1" applyFont="1" applyFill="1" applyAlignment="1" applyProtection="1">
      <alignment vertical="center"/>
      <protection hidden="1"/>
    </xf>
    <xf numFmtId="0" fontId="0" fillId="5" borderId="0" xfId="0" applyFill="1" applyAlignment="1">
      <alignment vertical="top"/>
    </xf>
    <xf numFmtId="0" fontId="0" fillId="5" borderId="0" xfId="0" applyFont="1" applyFill="1"/>
    <xf numFmtId="0" fontId="2" fillId="12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ont="1" applyFill="1"/>
    <xf numFmtId="0" fontId="0" fillId="0" borderId="0" xfId="0" applyAlignment="1"/>
    <xf numFmtId="9" fontId="3" fillId="0" borderId="0" xfId="1" applyNumberFormat="1" applyFont="1" applyAlignment="1" applyProtection="1">
      <protection hidden="1"/>
    </xf>
    <xf numFmtId="9" fontId="3" fillId="0" borderId="0" xfId="1" applyNumberFormat="1" applyFont="1" applyAlignment="1" applyProtection="1">
      <alignment horizontal="left"/>
      <protection hidden="1"/>
    </xf>
    <xf numFmtId="9" fontId="21" fillId="0" borderId="0" xfId="1" applyNumberFormat="1" applyFont="1" applyAlignment="1" applyProtection="1">
      <protection hidden="1"/>
    </xf>
    <xf numFmtId="9" fontId="43" fillId="8" borderId="0" xfId="1" applyNumberFormat="1" applyFont="1" applyFill="1" applyAlignment="1" applyProtection="1">
      <alignment vertical="center"/>
      <protection hidden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6" fillId="16" borderId="0" xfId="0" applyFont="1" applyFill="1"/>
    <xf numFmtId="0" fontId="41" fillId="16" borderId="0" xfId="0" applyFont="1" applyFill="1"/>
    <xf numFmtId="0" fontId="8" fillId="16" borderId="0" xfId="0" applyFont="1" applyFill="1"/>
    <xf numFmtId="0" fontId="47" fillId="16" borderId="0" xfId="0" applyFont="1" applyFill="1"/>
    <xf numFmtId="0" fontId="8" fillId="0" borderId="0" xfId="0" applyFont="1" applyFill="1"/>
    <xf numFmtId="0" fontId="48" fillId="0" borderId="0" xfId="0" applyFont="1" applyFill="1"/>
    <xf numFmtId="9" fontId="0" fillId="0" borderId="0" xfId="0" applyNumberFormat="1" applyFill="1"/>
    <xf numFmtId="0" fontId="48" fillId="0" borderId="0" xfId="0" applyFont="1" applyAlignment="1">
      <alignment vertical="center"/>
    </xf>
    <xf numFmtId="9" fontId="35" fillId="10" borderId="14" xfId="3" applyNumberFormat="1" applyFont="1" applyBorder="1" applyAlignment="1" applyProtection="1">
      <alignment horizontal="center" vertical="center"/>
      <protection hidden="1"/>
    </xf>
    <xf numFmtId="9" fontId="16" fillId="11" borderId="15" xfId="4" applyNumberFormat="1" applyBorder="1" applyAlignment="1" applyProtection="1">
      <alignment horizontal="center" vertical="center"/>
      <protection locked="0" hidden="1"/>
    </xf>
    <xf numFmtId="9" fontId="36" fillId="9" borderId="16" xfId="2" applyNumberFormat="1" applyFont="1" applyBorder="1" applyAlignment="1" applyProtection="1">
      <alignment horizontal="center" vertical="center"/>
      <protection locked="0" hidden="1"/>
    </xf>
    <xf numFmtId="0" fontId="0" fillId="0" borderId="59" xfId="0" applyBorder="1"/>
    <xf numFmtId="0" fontId="0" fillId="0" borderId="60" xfId="0" applyBorder="1"/>
    <xf numFmtId="9" fontId="0" fillId="2" borderId="0" xfId="8" applyFont="1" applyFill="1" applyAlignment="1">
      <alignment horizontal="center" vertical="center" wrapText="1"/>
    </xf>
    <xf numFmtId="1" fontId="22" fillId="12" borderId="46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46" xfId="0" applyNumberFormat="1" applyFont="1" applyFill="1" applyBorder="1" applyAlignment="1" applyProtection="1">
      <alignment horizontal="center" vertical="center" wrapText="1"/>
      <protection hidden="1"/>
    </xf>
    <xf numFmtId="9" fontId="14" fillId="12" borderId="16" xfId="2" applyNumberFormat="1" applyFill="1" applyBorder="1" applyAlignment="1" applyProtection="1">
      <alignment horizontal="center" vertical="center"/>
      <protection locked="0" hidden="1"/>
    </xf>
    <xf numFmtId="9" fontId="32" fillId="8" borderId="0" xfId="1" applyNumberFormat="1" applyFont="1" applyFill="1" applyAlignment="1" applyProtection="1">
      <alignment horizontal="right" vertical="center"/>
      <protection hidden="1"/>
    </xf>
    <xf numFmtId="9" fontId="3" fillId="0" borderId="0" xfId="1" applyNumberFormat="1" applyFont="1" applyAlignment="1" applyProtection="1">
      <alignment horizontal="right"/>
      <protection hidden="1"/>
    </xf>
    <xf numFmtId="9" fontId="3" fillId="0" borderId="0" xfId="1" applyNumberFormat="1" applyFont="1" applyAlignment="1" applyProtection="1">
      <alignment horizontal="right" vertical="top"/>
      <protection hidden="1"/>
    </xf>
    <xf numFmtId="9" fontId="21" fillId="0" borderId="0" xfId="1" applyNumberFormat="1" applyFont="1" applyAlignment="1" applyProtection="1">
      <alignment horizontal="right"/>
      <protection hidden="1"/>
    </xf>
    <xf numFmtId="9" fontId="4" fillId="0" borderId="0" xfId="1" applyNumberFormat="1" applyFont="1" applyFill="1" applyBorder="1" applyAlignment="1" applyProtection="1">
      <alignment horizontal="right" vertical="center"/>
      <protection hidden="1"/>
    </xf>
    <xf numFmtId="1" fontId="25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horizontal="right"/>
    </xf>
    <xf numFmtId="9" fontId="43" fillId="0" borderId="0" xfId="1" applyNumberFormat="1" applyFont="1" applyFill="1" applyAlignment="1" applyProtection="1">
      <alignment vertical="center"/>
      <protection hidden="1"/>
    </xf>
    <xf numFmtId="9" fontId="32" fillId="0" borderId="0" xfId="1" applyNumberFormat="1" applyFont="1" applyFill="1" applyAlignment="1" applyProtection="1">
      <alignment vertical="center"/>
      <protection hidden="1"/>
    </xf>
    <xf numFmtId="9" fontId="32" fillId="0" borderId="0" xfId="1" applyNumberFormat="1" applyFont="1" applyFill="1" applyAlignment="1" applyProtection="1">
      <alignment horizontal="right" vertical="center"/>
      <protection hidden="1"/>
    </xf>
    <xf numFmtId="0" fontId="50" fillId="6" borderId="63" xfId="5" applyFont="1" applyFill="1" applyBorder="1" applyAlignment="1">
      <alignment horizontal="center" vertical="center"/>
    </xf>
    <xf numFmtId="9" fontId="51" fillId="0" borderId="0" xfId="1" applyNumberFormat="1" applyFont="1" applyAlignment="1" applyProtection="1">
      <protection hidden="1"/>
    </xf>
    <xf numFmtId="9" fontId="15" fillId="12" borderId="61" xfId="3" applyNumberFormat="1" applyFill="1" applyBorder="1" applyAlignment="1" applyProtection="1">
      <alignment horizontal="center" vertical="center"/>
      <protection hidden="1"/>
    </xf>
    <xf numFmtId="9" fontId="15" fillId="12" borderId="62" xfId="3" applyNumberFormat="1" applyFill="1" applyBorder="1" applyAlignment="1" applyProtection="1">
      <alignment horizontal="center" vertical="center"/>
      <protection hidden="1"/>
    </xf>
    <xf numFmtId="0" fontId="53" fillId="6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vertical="top" wrapText="1"/>
    </xf>
    <xf numFmtId="0" fontId="33" fillId="0" borderId="0" xfId="0" applyFont="1" applyAlignment="1">
      <alignment vertical="center" wrapText="1"/>
    </xf>
    <xf numFmtId="0" fontId="2" fillId="0" borderId="0" xfId="0" applyFont="1" applyFill="1"/>
    <xf numFmtId="1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15" borderId="65" xfId="0" applyFill="1" applyBorder="1"/>
    <xf numFmtId="0" fontId="2" fillId="15" borderId="66" xfId="0" applyFont="1" applyFill="1" applyBorder="1"/>
    <xf numFmtId="1" fontId="2" fillId="15" borderId="68" xfId="0" applyNumberFormat="1" applyFont="1" applyFill="1" applyBorder="1" applyAlignment="1">
      <alignment horizontal="center" vertical="center" wrapText="1"/>
    </xf>
    <xf numFmtId="1" fontId="2" fillId="15" borderId="8" xfId="0" applyNumberFormat="1" applyFont="1" applyFill="1" applyBorder="1" applyAlignment="1">
      <alignment horizontal="center" vertical="center" wrapText="1"/>
    </xf>
    <xf numFmtId="0" fontId="0" fillId="15" borderId="64" xfId="0" applyFill="1" applyBorder="1"/>
    <xf numFmtId="0" fontId="0" fillId="15" borderId="67" xfId="0" applyFill="1" applyBorder="1"/>
    <xf numFmtId="0" fontId="0" fillId="15" borderId="7" xfId="0" applyFill="1" applyBorder="1"/>
    <xf numFmtId="1" fontId="0" fillId="15" borderId="0" xfId="0" applyNumberFormat="1" applyFill="1" applyBorder="1"/>
    <xf numFmtId="1" fontId="0" fillId="15" borderId="62" xfId="0" applyNumberFormat="1" applyFill="1" applyBorder="1"/>
    <xf numFmtId="0" fontId="0" fillId="15" borderId="65" xfId="0" applyFill="1" applyBorder="1" applyAlignment="1">
      <alignment horizontal="center" wrapText="1"/>
    </xf>
    <xf numFmtId="0" fontId="2" fillId="15" borderId="66" xfId="0" applyFont="1" applyFill="1" applyBorder="1" applyAlignment="1">
      <alignment horizontal="center"/>
    </xf>
    <xf numFmtId="0" fontId="0" fillId="15" borderId="0" xfId="0" applyFill="1" applyBorder="1"/>
    <xf numFmtId="0" fontId="0" fillId="15" borderId="0" xfId="0" applyFill="1" applyBorder="1" applyAlignment="1">
      <alignment horizontal="center"/>
    </xf>
    <xf numFmtId="0" fontId="2" fillId="15" borderId="68" xfId="0" applyFont="1" applyFill="1" applyBorder="1" applyAlignment="1">
      <alignment horizontal="center"/>
    </xf>
    <xf numFmtId="0" fontId="0" fillId="15" borderId="62" xfId="0" applyFill="1" applyBorder="1"/>
    <xf numFmtId="0" fontId="0" fillId="15" borderId="62" xfId="0" applyFill="1" applyBorder="1" applyAlignment="1">
      <alignment horizontal="center"/>
    </xf>
    <xf numFmtId="0" fontId="2" fillId="15" borderId="8" xfId="0" applyFont="1" applyFill="1" applyBorder="1" applyAlignment="1">
      <alignment horizontal="center"/>
    </xf>
    <xf numFmtId="0" fontId="0" fillId="15" borderId="65" xfId="0" applyFill="1" applyBorder="1" applyAlignment="1">
      <alignment horizontal="center"/>
    </xf>
    <xf numFmtId="0" fontId="2" fillId="0" borderId="0" xfId="0" applyFont="1" applyFill="1" applyBorder="1"/>
    <xf numFmtId="1" fontId="2" fillId="0" borderId="0" xfId="0" applyNumberFormat="1" applyFont="1" applyFill="1" applyBorder="1"/>
    <xf numFmtId="9" fontId="0" fillId="15" borderId="68" xfId="0" applyNumberFormat="1" applyFill="1" applyBorder="1"/>
    <xf numFmtId="9" fontId="0" fillId="15" borderId="8" xfId="0" applyNumberFormat="1" applyFill="1" applyBorder="1"/>
    <xf numFmtId="9" fontId="0" fillId="0" borderId="0" xfId="0" applyNumberFormat="1" applyFill="1" applyBorder="1"/>
    <xf numFmtId="9" fontId="14" fillId="12" borderId="52" xfId="2" applyNumberFormat="1" applyFill="1" applyBorder="1" applyAlignment="1" applyProtection="1">
      <alignment horizontal="center" vertical="center"/>
      <protection locked="0" hidden="1"/>
    </xf>
    <xf numFmtId="9" fontId="17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15" fillId="12" borderId="57" xfId="3" applyNumberFormat="1" applyFill="1" applyBorder="1" applyAlignment="1" applyProtection="1">
      <alignment horizontal="center" vertical="center"/>
      <protection hidden="1"/>
    </xf>
    <xf numFmtId="9" fontId="15" fillId="12" borderId="8" xfId="3" applyNumberForma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 wrapText="1"/>
    </xf>
    <xf numFmtId="0" fontId="54" fillId="0" borderId="0" xfId="0" applyFont="1"/>
    <xf numFmtId="0" fontId="0" fillId="0" borderId="0" xfId="0" applyAlignment="1">
      <alignment horizontal="center" vertical="center" wrapText="1"/>
    </xf>
    <xf numFmtId="0" fontId="0" fillId="8" borderId="0" xfId="0" applyFill="1" applyProtection="1"/>
    <xf numFmtId="0" fontId="12" fillId="8" borderId="0" xfId="0" applyFont="1" applyFill="1" applyProtection="1"/>
    <xf numFmtId="0" fontId="0" fillId="8" borderId="0" xfId="0" applyFill="1" applyAlignment="1" applyProtection="1">
      <alignment horizontal="center" vertical="center"/>
    </xf>
    <xf numFmtId="0" fontId="0" fillId="12" borderId="0" xfId="0" applyFill="1" applyProtection="1"/>
    <xf numFmtId="0" fontId="12" fillId="12" borderId="0" xfId="0" applyFont="1" applyFill="1" applyProtection="1"/>
    <xf numFmtId="0" fontId="0" fillId="12" borderId="0" xfId="0" applyFill="1" applyAlignment="1" applyProtection="1">
      <alignment horizontal="center" vertical="center"/>
    </xf>
    <xf numFmtId="0" fontId="0" fillId="12" borderId="0" xfId="0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44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Protection="1"/>
    <xf numFmtId="0" fontId="2" fillId="5" borderId="0" xfId="0" applyFont="1" applyFill="1" applyAlignment="1" applyProtection="1">
      <alignment vertical="top"/>
    </xf>
    <xf numFmtId="0" fontId="0" fillId="0" borderId="0" xfId="0" applyProtection="1"/>
    <xf numFmtId="0" fontId="42" fillId="5" borderId="0" xfId="0" applyFont="1" applyFill="1" applyProtection="1"/>
    <xf numFmtId="0" fontId="0" fillId="5" borderId="0" xfId="0" applyFill="1" applyBorder="1" applyAlignment="1" applyProtection="1">
      <alignment horizontal="center"/>
    </xf>
    <xf numFmtId="0" fontId="44" fillId="5" borderId="0" xfId="0" applyFont="1" applyFill="1" applyBorder="1" applyAlignment="1" applyProtection="1">
      <alignment vertical="center"/>
    </xf>
    <xf numFmtId="0" fontId="56" fillId="0" borderId="0" xfId="0" applyFont="1" applyAlignment="1" applyProtection="1">
      <alignment horizontal="center" vertical="center"/>
    </xf>
    <xf numFmtId="0" fontId="56" fillId="5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top"/>
    </xf>
    <xf numFmtId="0" fontId="44" fillId="0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center" vertical="center"/>
    </xf>
    <xf numFmtId="0" fontId="2" fillId="12" borderId="0" xfId="0" applyFont="1" applyFill="1" applyProtection="1"/>
    <xf numFmtId="0" fontId="58" fillId="16" borderId="13" xfId="5" applyFont="1" applyFill="1" applyBorder="1" applyAlignment="1" applyProtection="1">
      <alignment horizontal="center" vertical="center"/>
      <protection locked="0"/>
    </xf>
    <xf numFmtId="9" fontId="0" fillId="0" borderId="0" xfId="8" applyFont="1" applyAlignment="1">
      <alignment horizontal="center" vertical="center" wrapText="1"/>
    </xf>
    <xf numFmtId="0" fontId="49" fillId="16" borderId="58" xfId="0" applyFont="1" applyFill="1" applyBorder="1" applyAlignment="1" applyProtection="1">
      <alignment horizontal="center" vertical="center"/>
    </xf>
    <xf numFmtId="0" fontId="57" fillId="17" borderId="13" xfId="5" applyFont="1" applyFill="1" applyBorder="1" applyAlignment="1" applyProtection="1">
      <alignment horizontal="center" vertical="center"/>
      <protection locked="0"/>
    </xf>
    <xf numFmtId="0" fontId="49" fillId="17" borderId="13" xfId="0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Border="1"/>
    <xf numFmtId="0" fontId="8" fillId="16" borderId="0" xfId="0" applyFont="1" applyFill="1" applyBorder="1"/>
    <xf numFmtId="0" fontId="8" fillId="0" borderId="0" xfId="0" applyFont="1" applyFill="1" applyBorder="1"/>
    <xf numFmtId="0" fontId="2" fillId="0" borderId="0" xfId="0" applyFont="1" applyBorder="1"/>
    <xf numFmtId="1" fontId="22" fillId="12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2" borderId="41" xfId="0" applyNumberFormat="1" applyFont="1" applyFill="1" applyBorder="1" applyAlignment="1" applyProtection="1">
      <alignment horizontal="left" vertical="center" shrinkToFit="1"/>
      <protection hidden="1"/>
    </xf>
    <xf numFmtId="1" fontId="22" fillId="12" borderId="39" xfId="0" applyNumberFormat="1" applyFont="1" applyFill="1" applyBorder="1" applyAlignment="1" applyProtection="1">
      <alignment horizontal="right" vertical="center" shrinkToFit="1"/>
      <protection hidden="1"/>
    </xf>
    <xf numFmtId="1" fontId="22" fillId="12" borderId="46" xfId="0" applyNumberFormat="1" applyFont="1" applyFill="1" applyBorder="1" applyAlignment="1" applyProtection="1">
      <alignment horizontal="center" vertical="center" shrinkToFit="1"/>
      <protection hidden="1"/>
    </xf>
    <xf numFmtId="0" fontId="34" fillId="12" borderId="39" xfId="6" applyFont="1" applyFill="1" applyBorder="1" applyAlignment="1">
      <alignment horizontal="right" vertical="center" shrinkToFit="1"/>
    </xf>
    <xf numFmtId="0" fontId="22" fillId="13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3" borderId="41" xfId="0" applyNumberFormat="1" applyFont="1" applyFill="1" applyBorder="1" applyAlignment="1" applyProtection="1">
      <alignment horizontal="left" vertical="center" shrinkToFit="1"/>
      <protection hidden="1"/>
    </xf>
    <xf numFmtId="1" fontId="22" fillId="13" borderId="39" xfId="0" applyNumberFormat="1" applyFont="1" applyFill="1" applyBorder="1" applyAlignment="1" applyProtection="1">
      <alignment horizontal="right" vertical="center" shrinkToFit="1"/>
      <protection hidden="1"/>
    </xf>
    <xf numFmtId="1" fontId="22" fillId="13" borderId="46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2" xfId="0" applyNumberFormat="1" applyFont="1" applyFill="1" applyBorder="1" applyAlignment="1" applyProtection="1">
      <alignment horizontal="right" vertical="center" shrinkToFit="1"/>
      <protection hidden="1"/>
    </xf>
    <xf numFmtId="0" fontId="34" fillId="13" borderId="39" xfId="6" applyFont="1" applyFill="1" applyBorder="1" applyAlignment="1">
      <alignment horizontal="right" vertical="center" shrinkToFit="1"/>
    </xf>
    <xf numFmtId="0" fontId="22" fillId="12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2" borderId="41" xfId="2" applyNumberFormat="1" applyFont="1" applyFill="1" applyBorder="1" applyAlignment="1" applyProtection="1">
      <alignment horizontal="left" vertical="center" shrinkToFit="1"/>
      <protection hidden="1"/>
    </xf>
    <xf numFmtId="1" fontId="34" fillId="13" borderId="39" xfId="6" applyNumberFormat="1" applyFont="1" applyFill="1" applyBorder="1" applyAlignment="1">
      <alignment horizontal="right" vertical="center" shrinkToFit="1"/>
    </xf>
    <xf numFmtId="1" fontId="22" fillId="12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2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2" borderId="45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38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45" xfId="0" applyNumberFormat="1" applyFont="1" applyFill="1" applyBorder="1" applyAlignment="1" applyProtection="1">
      <alignment horizontal="center" vertical="center" shrinkToFit="1"/>
      <protection hidden="1"/>
    </xf>
    <xf numFmtId="9" fontId="22" fillId="13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3" borderId="45" xfId="0" applyNumberFormat="1" applyFont="1" applyFill="1" applyBorder="1" applyAlignment="1" applyProtection="1">
      <alignment horizontal="center" vertical="center" shrinkToFit="1"/>
      <protection hidden="1"/>
    </xf>
    <xf numFmtId="1" fontId="22" fillId="12" borderId="45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15" borderId="0" xfId="0" applyFill="1" applyAlignment="1">
      <alignment horizontal="center"/>
    </xf>
    <xf numFmtId="9" fontId="17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15" fillId="12" borderId="57" xfId="3" applyNumberFormat="1" applyFill="1" applyBorder="1" applyAlignment="1" applyProtection="1">
      <alignment horizontal="center" vertical="center"/>
      <protection hidden="1"/>
    </xf>
    <xf numFmtId="9" fontId="15" fillId="12" borderId="8" xfId="3" applyNumberFormat="1" applyFill="1" applyBorder="1" applyAlignment="1" applyProtection="1">
      <alignment horizontal="center" vertical="center"/>
      <protection hidden="1"/>
    </xf>
    <xf numFmtId="9" fontId="14" fillId="12" borderId="52" xfId="2" applyNumberFormat="1" applyFill="1" applyBorder="1" applyAlignment="1" applyProtection="1">
      <alignment horizontal="center" vertical="center"/>
      <protection locked="0" hidden="1"/>
    </xf>
    <xf numFmtId="0" fontId="0" fillId="0" borderId="0" xfId="0" applyFill="1" applyAlignment="1">
      <alignment horizontal="center" vertical="center" wrapText="1"/>
    </xf>
    <xf numFmtId="9" fontId="0" fillId="15" borderId="0" xfId="0" applyNumberFormat="1" applyFill="1" applyAlignment="1">
      <alignment horizontal="center"/>
    </xf>
    <xf numFmtId="1" fontId="0" fillId="15" borderId="0" xfId="0" applyNumberFormat="1" applyFill="1" applyAlignment="1">
      <alignment horizontal="center"/>
    </xf>
    <xf numFmtId="9" fontId="14" fillId="12" borderId="52" xfId="2" applyNumberFormat="1" applyFill="1" applyBorder="1" applyAlignment="1" applyProtection="1">
      <alignment horizontal="center" vertical="center"/>
      <protection locked="0" hidden="1"/>
    </xf>
    <xf numFmtId="9" fontId="17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15" fillId="12" borderId="57" xfId="3" applyNumberFormat="1" applyFill="1" applyBorder="1" applyAlignment="1" applyProtection="1">
      <alignment horizontal="center" vertical="center"/>
      <protection hidden="1"/>
    </xf>
    <xf numFmtId="9" fontId="15" fillId="12" borderId="8" xfId="3" applyNumberForma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 wrapText="1"/>
    </xf>
    <xf numFmtId="0" fontId="62" fillId="0" borderId="0" xfId="0" applyFont="1" applyAlignment="1">
      <alignment vertical="center"/>
    </xf>
    <xf numFmtId="0" fontId="62" fillId="0" borderId="0" xfId="0" quotePrefix="1" applyFont="1" applyAlignment="1">
      <alignment vertical="center"/>
    </xf>
    <xf numFmtId="9" fontId="0" fillId="2" borderId="0" xfId="8" applyFont="1" applyFill="1" applyAlignment="1">
      <alignment horizontal="center" vertical="center"/>
    </xf>
    <xf numFmtId="1" fontId="0" fillId="2" borderId="0" xfId="0" applyNumberFormat="1" applyFill="1" applyAlignment="1">
      <alignment horizontal="left" vertical="center"/>
    </xf>
    <xf numFmtId="1" fontId="0" fillId="2" borderId="0" xfId="0" applyNumberFormat="1" applyFill="1" applyAlignment="1">
      <alignment vertical="center" wrapText="1"/>
    </xf>
    <xf numFmtId="0" fontId="65" fillId="0" borderId="0" xfId="0" applyFont="1" applyFill="1" applyAlignment="1">
      <alignment vertical="center"/>
    </xf>
    <xf numFmtId="0" fontId="6" fillId="15" borderId="65" xfId="0" applyFont="1" applyFill="1" applyBorder="1"/>
    <xf numFmtId="0" fontId="6" fillId="15" borderId="64" xfId="0" applyFont="1" applyFill="1" applyBorder="1" applyAlignment="1">
      <alignment vertical="center"/>
    </xf>
    <xf numFmtId="0" fontId="6" fillId="0" borderId="0" xfId="0" applyFont="1"/>
    <xf numFmtId="0" fontId="6" fillId="15" borderId="0" xfId="0" applyFont="1" applyFill="1" applyAlignment="1">
      <alignment vertical="center"/>
    </xf>
    <xf numFmtId="0" fontId="65" fillId="15" borderId="67" xfId="0" applyFont="1" applyFill="1" applyBorder="1" applyAlignment="1">
      <alignment vertical="center"/>
    </xf>
    <xf numFmtId="0" fontId="6" fillId="18" borderId="64" xfId="0" applyFont="1" applyFill="1" applyBorder="1" applyAlignment="1"/>
    <xf numFmtId="0" fontId="6" fillId="18" borderId="66" xfId="0" applyFont="1" applyFill="1" applyBorder="1" applyAlignment="1"/>
    <xf numFmtId="0" fontId="65" fillId="15" borderId="0" xfId="0" applyFont="1" applyFill="1" applyAlignment="1">
      <alignment vertical="center"/>
    </xf>
    <xf numFmtId="0" fontId="6" fillId="15" borderId="64" xfId="0" applyFont="1" applyFill="1" applyBorder="1" applyAlignment="1"/>
    <xf numFmtId="0" fontId="6" fillId="15" borderId="66" xfId="0" applyFont="1" applyFill="1" applyBorder="1" applyAlignment="1"/>
    <xf numFmtId="9" fontId="6" fillId="15" borderId="64" xfId="0" applyNumberFormat="1" applyFont="1" applyFill="1" applyBorder="1"/>
    <xf numFmtId="9" fontId="6" fillId="15" borderId="66" xfId="0" applyNumberFormat="1" applyFont="1" applyFill="1" applyBorder="1"/>
    <xf numFmtId="0" fontId="6" fillId="15" borderId="64" xfId="0" applyFont="1" applyFill="1" applyBorder="1"/>
    <xf numFmtId="0" fontId="6" fillId="15" borderId="65" xfId="0" applyFont="1" applyFill="1" applyBorder="1" applyAlignment="1"/>
    <xf numFmtId="0" fontId="6" fillId="15" borderId="67" xfId="0" applyFont="1" applyFill="1" applyBorder="1" applyAlignment="1">
      <alignment vertical="center"/>
    </xf>
    <xf numFmtId="9" fontId="6" fillId="18" borderId="67" xfId="0" applyNumberFormat="1" applyFont="1" applyFill="1" applyBorder="1"/>
    <xf numFmtId="9" fontId="6" fillId="18" borderId="68" xfId="0" applyNumberFormat="1" applyFont="1" applyFill="1" applyBorder="1"/>
    <xf numFmtId="9" fontId="6" fillId="15" borderId="67" xfId="0" applyNumberFormat="1" applyFont="1" applyFill="1" applyBorder="1"/>
    <xf numFmtId="9" fontId="6" fillId="15" borderId="68" xfId="0" applyNumberFormat="1" applyFont="1" applyFill="1" applyBorder="1"/>
    <xf numFmtId="10" fontId="6" fillId="15" borderId="67" xfId="0" applyNumberFormat="1" applyFont="1" applyFill="1" applyBorder="1"/>
    <xf numFmtId="10" fontId="6" fillId="15" borderId="0" xfId="0" applyNumberFormat="1" applyFont="1" applyFill="1" applyBorder="1"/>
    <xf numFmtId="0" fontId="6" fillId="15" borderId="7" xfId="0" applyFont="1" applyFill="1" applyBorder="1" applyAlignment="1">
      <alignment vertical="center"/>
    </xf>
    <xf numFmtId="9" fontId="6" fillId="18" borderId="7" xfId="0" applyNumberFormat="1" applyFont="1" applyFill="1" applyBorder="1"/>
    <xf numFmtId="9" fontId="6" fillId="18" borderId="8" xfId="0" applyNumberFormat="1" applyFont="1" applyFill="1" applyBorder="1"/>
    <xf numFmtId="9" fontId="6" fillId="15" borderId="7" xfId="0" applyNumberFormat="1" applyFont="1" applyFill="1" applyBorder="1"/>
    <xf numFmtId="9" fontId="6" fillId="15" borderId="8" xfId="0" applyNumberFormat="1" applyFont="1" applyFill="1" applyBorder="1"/>
    <xf numFmtId="10" fontId="6" fillId="15" borderId="7" xfId="0" applyNumberFormat="1" applyFont="1" applyFill="1" applyBorder="1"/>
    <xf numFmtId="10" fontId="6" fillId="15" borderId="62" xfId="0" applyNumberFormat="1" applyFont="1" applyFill="1" applyBorder="1"/>
    <xf numFmtId="0" fontId="6" fillId="15" borderId="0" xfId="0" applyFont="1" applyFill="1"/>
    <xf numFmtId="0" fontId="6" fillId="15" borderId="67" xfId="0" applyFont="1" applyFill="1" applyBorder="1"/>
    <xf numFmtId="0" fontId="6" fillId="18" borderId="64" xfId="0" applyFont="1" applyFill="1" applyBorder="1"/>
    <xf numFmtId="0" fontId="6" fillId="18" borderId="66" xfId="0" applyFont="1" applyFill="1" applyBorder="1"/>
    <xf numFmtId="0" fontId="0" fillId="0" borderId="0" xfId="0" applyAlignment="1">
      <alignment horizontal="center" vertical="center" wrapText="1"/>
    </xf>
    <xf numFmtId="0" fontId="9" fillId="6" borderId="58" xfId="0" applyFont="1" applyFill="1" applyBorder="1"/>
    <xf numFmtId="0" fontId="0" fillId="0" borderId="0" xfId="0" applyAlignment="1">
      <alignment horizontal="center" vertical="center" wrapText="1"/>
    </xf>
    <xf numFmtId="0" fontId="6" fillId="3" borderId="0" xfId="0" applyFont="1" applyFill="1"/>
    <xf numFmtId="0" fontId="0" fillId="2" borderId="0" xfId="0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4" fillId="16" borderId="58" xfId="0" applyFont="1" applyFill="1" applyBorder="1" applyAlignment="1" applyProtection="1">
      <alignment horizontal="center" vertical="center"/>
    </xf>
    <xf numFmtId="0" fontId="57" fillId="16" borderId="13" xfId="5" applyFont="1" applyFill="1" applyBorder="1" applyAlignment="1" applyProtection="1">
      <alignment horizontal="center" vertical="center"/>
      <protection locked="0"/>
    </xf>
    <xf numFmtId="0" fontId="50" fillId="6" borderId="63" xfId="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9" fontId="17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15" fillId="12" borderId="57" xfId="3" applyNumberFormat="1" applyFill="1" applyBorder="1" applyAlignment="1" applyProtection="1">
      <alignment horizontal="center" vertical="center"/>
      <protection hidden="1"/>
    </xf>
    <xf numFmtId="9" fontId="15" fillId="12" borderId="8" xfId="3" applyNumberFormat="1" applyFill="1" applyBorder="1" applyAlignment="1" applyProtection="1">
      <alignment horizontal="center" vertical="center"/>
      <protection hidden="1"/>
    </xf>
    <xf numFmtId="0" fontId="45" fillId="12" borderId="0" xfId="0" applyFont="1" applyFill="1" applyAlignment="1" applyProtection="1">
      <alignment horizontal="center" vertical="center"/>
    </xf>
    <xf numFmtId="0" fontId="30" fillId="12" borderId="0" xfId="0" applyFont="1" applyFill="1" applyAlignment="1" applyProtection="1">
      <alignment horizontal="center" vertical="center"/>
    </xf>
    <xf numFmtId="0" fontId="12" fillId="6" borderId="0" xfId="0" applyFont="1" applyFill="1" applyAlignment="1" applyProtection="1">
      <alignment horizontal="center" vertical="center" wrapText="1"/>
    </xf>
    <xf numFmtId="0" fontId="12" fillId="6" borderId="0" xfId="0" applyFont="1" applyFill="1" applyAlignment="1" applyProtection="1">
      <alignment horizontal="center" vertical="center"/>
    </xf>
    <xf numFmtId="0" fontId="53" fillId="6" borderId="0" xfId="0" applyFont="1" applyFill="1" applyAlignment="1">
      <alignment horizontal="left" vertical="center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29" fillId="0" borderId="13" xfId="0" applyFont="1" applyBorder="1" applyAlignment="1">
      <alignment vertical="top" wrapText="1"/>
    </xf>
    <xf numFmtId="9" fontId="35" fillId="10" borderId="47" xfId="3" applyNumberFormat="1" applyFont="1" applyBorder="1" applyAlignment="1" applyProtection="1">
      <alignment horizontal="center" vertical="center"/>
      <protection hidden="1"/>
    </xf>
    <xf numFmtId="9" fontId="35" fillId="10" borderId="48" xfId="3" applyNumberFormat="1" applyFont="1" applyBorder="1" applyAlignment="1" applyProtection="1">
      <alignment horizontal="center" vertical="center"/>
      <protection hidden="1"/>
    </xf>
    <xf numFmtId="9" fontId="16" fillId="11" borderId="15" xfId="4" applyNumberFormat="1" applyBorder="1" applyAlignment="1" applyProtection="1">
      <alignment horizontal="center" vertical="center"/>
      <protection locked="0" hidden="1"/>
    </xf>
    <xf numFmtId="9" fontId="16" fillId="11" borderId="50" xfId="4" applyNumberFormat="1" applyBorder="1" applyAlignment="1" applyProtection="1">
      <alignment horizontal="center" vertical="center"/>
      <protection locked="0" hidden="1"/>
    </xf>
    <xf numFmtId="9" fontId="16" fillId="11" borderId="49" xfId="4" applyNumberFormat="1" applyBorder="1" applyAlignment="1" applyProtection="1">
      <alignment horizontal="center" vertical="center"/>
      <protection locked="0" hidden="1"/>
    </xf>
    <xf numFmtId="9" fontId="14" fillId="12" borderId="51" xfId="2" applyNumberFormat="1" applyFill="1" applyBorder="1" applyAlignment="1" applyProtection="1">
      <alignment horizontal="center" vertical="center"/>
      <protection locked="0" hidden="1"/>
    </xf>
    <xf numFmtId="9" fontId="14" fillId="12" borderId="52" xfId="2" applyNumberFormat="1" applyFill="1" applyBorder="1" applyAlignment="1" applyProtection="1">
      <alignment horizontal="center" vertical="center"/>
      <protection locked="0" hidden="1"/>
    </xf>
    <xf numFmtId="9" fontId="0" fillId="12" borderId="51" xfId="2" applyNumberFormat="1" applyFont="1" applyFill="1" applyBorder="1" applyAlignment="1" applyProtection="1">
      <alignment horizontal="center" vertical="center"/>
      <protection locked="0" hidden="1"/>
    </xf>
    <xf numFmtId="9" fontId="36" fillId="9" borderId="51" xfId="2" applyNumberFormat="1" applyFont="1" applyBorder="1" applyAlignment="1" applyProtection="1">
      <alignment horizontal="center" vertical="center"/>
      <protection locked="0" hidden="1"/>
    </xf>
    <xf numFmtId="9" fontId="36" fillId="9" borderId="52" xfId="2" applyNumberFormat="1" applyFont="1" applyBorder="1" applyAlignment="1" applyProtection="1">
      <alignment horizontal="center" vertical="center"/>
      <protection locked="0" hidden="1"/>
    </xf>
    <xf numFmtId="9" fontId="37" fillId="11" borderId="56" xfId="4" applyNumberFormat="1" applyFont="1" applyBorder="1" applyAlignment="1" applyProtection="1">
      <alignment horizontal="center" vertical="center"/>
      <protection hidden="1"/>
    </xf>
    <xf numFmtId="9" fontId="16" fillId="11" borderId="57" xfId="4" applyNumberFormat="1" applyBorder="1" applyAlignment="1" applyProtection="1">
      <alignment horizontal="center" vertical="center"/>
      <protection hidden="1"/>
    </xf>
    <xf numFmtId="9" fontId="16" fillId="11" borderId="7" xfId="4" applyNumberFormat="1" applyBorder="1" applyAlignment="1" applyProtection="1">
      <alignment horizontal="center" vertical="center"/>
      <protection hidden="1"/>
    </xf>
    <xf numFmtId="9" fontId="16" fillId="11" borderId="8" xfId="4" applyNumberFormat="1" applyBorder="1" applyAlignment="1" applyProtection="1">
      <alignment horizontal="center" vertical="center"/>
      <protection hidden="1"/>
    </xf>
    <xf numFmtId="9" fontId="35" fillId="10" borderId="56" xfId="3" applyNumberFormat="1" applyFont="1" applyBorder="1" applyAlignment="1" applyProtection="1">
      <alignment horizontal="center" vertical="center"/>
      <protection hidden="1"/>
    </xf>
    <xf numFmtId="9" fontId="15" fillId="10" borderId="57" xfId="3" applyNumberFormat="1" applyBorder="1" applyAlignment="1" applyProtection="1">
      <alignment horizontal="center" vertical="center"/>
      <protection hidden="1"/>
    </xf>
    <xf numFmtId="9" fontId="15" fillId="10" borderId="7" xfId="3" applyNumberFormat="1" applyBorder="1" applyAlignment="1" applyProtection="1">
      <alignment horizontal="center" vertical="center"/>
      <protection hidden="1"/>
    </xf>
    <xf numFmtId="9" fontId="15" fillId="10" borderId="8" xfId="3" applyNumberFormat="1" applyBorder="1" applyAlignment="1" applyProtection="1">
      <alignment horizontal="center" vertical="center"/>
      <protection hidden="1"/>
    </xf>
    <xf numFmtId="9" fontId="25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38" fillId="0" borderId="25" xfId="1" applyNumberFormat="1" applyFont="1" applyBorder="1" applyAlignment="1" applyProtection="1">
      <alignment horizontal="center" vertical="center"/>
      <protection hidden="1"/>
    </xf>
    <xf numFmtId="0" fontId="39" fillId="12" borderId="21" xfId="5" applyFont="1" applyFill="1" applyBorder="1" applyAlignment="1">
      <alignment horizontal="center" vertical="center" wrapText="1"/>
    </xf>
    <xf numFmtId="0" fontId="39" fillId="12" borderId="22" xfId="5" applyFont="1" applyFill="1" applyBorder="1" applyAlignment="1">
      <alignment horizontal="center" vertical="center" wrapText="1"/>
    </xf>
    <xf numFmtId="0" fontId="39" fillId="12" borderId="23" xfId="5" applyFont="1" applyFill="1" applyBorder="1" applyAlignment="1">
      <alignment horizontal="center" vertical="center" wrapText="1"/>
    </xf>
    <xf numFmtId="0" fontId="39" fillId="12" borderId="24" xfId="5" applyFont="1" applyFill="1" applyBorder="1" applyAlignment="1">
      <alignment horizontal="center" vertical="center" wrapText="1"/>
    </xf>
    <xf numFmtId="0" fontId="39" fillId="12" borderId="0" xfId="5" applyFont="1" applyFill="1" applyBorder="1" applyAlignment="1">
      <alignment horizontal="center" vertical="center" wrapText="1"/>
    </xf>
    <xf numFmtId="0" fontId="39" fillId="12" borderId="25" xfId="5" applyFont="1" applyFill="1" applyBorder="1" applyAlignment="1">
      <alignment horizontal="center" vertical="center" wrapText="1"/>
    </xf>
    <xf numFmtId="0" fontId="39" fillId="12" borderId="26" xfId="5" applyFont="1" applyFill="1" applyBorder="1" applyAlignment="1">
      <alignment horizontal="center" vertical="center" wrapText="1"/>
    </xf>
    <xf numFmtId="0" fontId="39" fillId="12" borderId="27" xfId="5" applyFont="1" applyFill="1" applyBorder="1" applyAlignment="1">
      <alignment horizontal="center" vertical="center" wrapText="1"/>
    </xf>
    <xf numFmtId="0" fontId="39" fillId="12" borderId="28" xfId="5" applyFont="1" applyFill="1" applyBorder="1" applyAlignment="1">
      <alignment horizontal="center" vertical="center" wrapText="1"/>
    </xf>
    <xf numFmtId="9" fontId="35" fillId="10" borderId="14" xfId="3" applyNumberFormat="1" applyFont="1" applyBorder="1" applyAlignment="1" applyProtection="1">
      <alignment horizontal="center" vertical="center"/>
      <protection hidden="1"/>
    </xf>
    <xf numFmtId="9" fontId="15" fillId="12" borderId="56" xfId="3" applyNumberFormat="1" applyFill="1" applyBorder="1" applyAlignment="1" applyProtection="1">
      <alignment horizontal="center" vertical="center"/>
      <protection hidden="1"/>
    </xf>
    <xf numFmtId="9" fontId="15" fillId="12" borderId="57" xfId="3" applyNumberFormat="1" applyFill="1" applyBorder="1" applyAlignment="1" applyProtection="1">
      <alignment horizontal="center" vertical="center"/>
      <protection hidden="1"/>
    </xf>
    <xf numFmtId="9" fontId="15" fillId="12" borderId="7" xfId="3" applyNumberFormat="1" applyFill="1" applyBorder="1" applyAlignment="1" applyProtection="1">
      <alignment horizontal="center" vertical="center"/>
      <protection hidden="1"/>
    </xf>
    <xf numFmtId="9" fontId="15" fillId="12" borderId="8" xfId="3" applyNumberFormat="1" applyFill="1" applyBorder="1" applyAlignment="1" applyProtection="1">
      <alignment horizontal="center" vertical="center"/>
      <protection hidden="1"/>
    </xf>
    <xf numFmtId="9" fontId="36" fillId="9" borderId="56" xfId="2" applyNumberFormat="1" applyFont="1" applyBorder="1" applyAlignment="1" applyProtection="1">
      <alignment horizontal="center" vertical="center"/>
      <protection hidden="1"/>
    </xf>
    <xf numFmtId="9" fontId="14" fillId="9" borderId="57" xfId="2" applyNumberFormat="1" applyBorder="1" applyAlignment="1" applyProtection="1">
      <alignment horizontal="center" vertical="center"/>
      <protection hidden="1"/>
    </xf>
    <xf numFmtId="9" fontId="14" fillId="9" borderId="7" xfId="2" applyNumberFormat="1" applyBorder="1" applyAlignment="1" applyProtection="1">
      <alignment horizontal="center" vertical="center"/>
      <protection hidden="1"/>
    </xf>
    <xf numFmtId="9" fontId="14" fillId="9" borderId="8" xfId="2" applyNumberFormat="1" applyBorder="1" applyAlignment="1" applyProtection="1">
      <alignment horizontal="center" vertical="center"/>
      <protection hidden="1"/>
    </xf>
    <xf numFmtId="9" fontId="9" fillId="6" borderId="1" xfId="0" applyNumberFormat="1" applyFont="1" applyFill="1" applyBorder="1" applyAlignment="1" applyProtection="1">
      <alignment horizontal="center" vertical="center"/>
      <protection hidden="1"/>
    </xf>
    <xf numFmtId="9" fontId="9" fillId="6" borderId="4" xfId="0" applyNumberFormat="1" applyFont="1" applyFill="1" applyBorder="1" applyAlignment="1" applyProtection="1">
      <alignment horizontal="center" vertical="center" wrapText="1"/>
      <protection hidden="1"/>
    </xf>
    <xf numFmtId="9" fontId="9" fillId="6" borderId="17" xfId="0" applyNumberFormat="1" applyFont="1" applyFill="1" applyBorder="1" applyAlignment="1" applyProtection="1">
      <alignment horizontal="center" vertical="center" wrapText="1"/>
      <protection hidden="1"/>
    </xf>
    <xf numFmtId="9" fontId="9" fillId="6" borderId="5" xfId="0" applyNumberFormat="1" applyFont="1" applyFill="1" applyBorder="1" applyAlignment="1" applyProtection="1">
      <alignment horizontal="center" vertical="center" wrapText="1"/>
      <protection hidden="1"/>
    </xf>
    <xf numFmtId="9" fontId="36" fillId="9" borderId="16" xfId="2" applyNumberFormat="1" applyFont="1" applyBorder="1" applyAlignment="1" applyProtection="1">
      <alignment horizontal="center" vertical="center"/>
      <protection locked="0" hidden="1"/>
    </xf>
    <xf numFmtId="9" fontId="9" fillId="6" borderId="2" xfId="5" applyNumberFormat="1" applyFont="1" applyFill="1" applyBorder="1" applyAlignment="1" applyProtection="1">
      <alignment horizontal="center" vertical="center" wrapText="1"/>
      <protection hidden="1"/>
    </xf>
    <xf numFmtId="9" fontId="9" fillId="6" borderId="3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0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3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2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4" xfId="5" applyNumberFormat="1" applyFont="1" applyFill="1" applyBorder="1" applyAlignment="1" applyProtection="1">
      <alignment horizontal="center" vertical="center" wrapText="1"/>
      <protection hidden="1"/>
    </xf>
    <xf numFmtId="9" fontId="9" fillId="6" borderId="6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2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1" xfId="5" applyNumberFormat="1" applyFont="1" applyFill="1" applyBorder="1" applyAlignment="1" applyProtection="1">
      <alignment horizontal="center" vertical="center" wrapText="1"/>
      <protection hidden="1"/>
    </xf>
    <xf numFmtId="9" fontId="32" fillId="8" borderId="0" xfId="1" applyNumberFormat="1" applyFont="1" applyFill="1" applyAlignment="1" applyProtection="1">
      <alignment horizontal="left" vertical="center" indent="3"/>
      <protection hidden="1"/>
    </xf>
    <xf numFmtId="0" fontId="55" fillId="6" borderId="0" xfId="5" applyFont="1" applyFill="1" applyAlignment="1">
      <alignment horizontal="center" vertical="center"/>
    </xf>
    <xf numFmtId="9" fontId="40" fillId="0" borderId="0" xfId="1" applyNumberFormat="1" applyFont="1" applyFill="1" applyAlignment="1" applyProtection="1">
      <alignment horizontal="center" vertical="center"/>
      <protection hidden="1"/>
    </xf>
    <xf numFmtId="164" fontId="60" fillId="12" borderId="34" xfId="0" applyNumberFormat="1" applyFont="1" applyFill="1" applyBorder="1" applyAlignment="1">
      <alignment horizontal="left" vertical="center" wrapText="1"/>
    </xf>
    <xf numFmtId="0" fontId="42" fillId="6" borderId="0" xfId="5" applyFont="1" applyFill="1" applyAlignment="1" applyProtection="1">
      <alignment horizontal="center" vertical="center"/>
      <protection locked="0"/>
    </xf>
    <xf numFmtId="9" fontId="6" fillId="12" borderId="2" xfId="0" applyNumberFormat="1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9" fontId="61" fillId="12" borderId="2" xfId="0" applyNumberFormat="1" applyFont="1" applyFill="1" applyBorder="1" applyAlignment="1">
      <alignment horizontal="center" vertical="center" wrapText="1"/>
    </xf>
    <xf numFmtId="9" fontId="61" fillId="12" borderId="3" xfId="0" applyNumberFormat="1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9" fontId="6" fillId="12" borderId="6" xfId="0" applyNumberFormat="1" applyFont="1" applyFill="1" applyBorder="1" applyAlignment="1">
      <alignment horizontal="center" vertical="center" wrapText="1"/>
    </xf>
    <xf numFmtId="9" fontId="6" fillId="12" borderId="3" xfId="0" applyNumberFormat="1" applyFont="1" applyFill="1" applyBorder="1" applyAlignment="1">
      <alignment horizontal="center" vertical="center" wrapText="1"/>
    </xf>
    <xf numFmtId="1" fontId="59" fillId="12" borderId="35" xfId="0" applyNumberFormat="1" applyFont="1" applyFill="1" applyBorder="1" applyAlignment="1">
      <alignment horizontal="center" vertical="center" wrapText="1"/>
    </xf>
    <xf numFmtId="1" fontId="59" fillId="12" borderId="37" xfId="0" applyNumberFormat="1" applyFont="1" applyFill="1" applyBorder="1" applyAlignment="1">
      <alignment horizontal="center" vertical="center" wrapText="1"/>
    </xf>
    <xf numFmtId="0" fontId="59" fillId="12" borderId="37" xfId="0" applyFont="1" applyFill="1" applyBorder="1" applyAlignment="1">
      <alignment horizontal="center" vertical="center" wrapText="1"/>
    </xf>
    <xf numFmtId="1" fontId="60" fillId="12" borderId="12" xfId="0" applyNumberFormat="1" applyFont="1" applyFill="1" applyBorder="1" applyAlignment="1">
      <alignment horizontal="center" vertical="center" wrapText="1"/>
    </xf>
    <xf numFmtId="0" fontId="60" fillId="12" borderId="9" xfId="0" applyFont="1" applyFill="1" applyBorder="1" applyAlignment="1">
      <alignment horizontal="center" vertical="center" wrapText="1"/>
    </xf>
    <xf numFmtId="0" fontId="60" fillId="12" borderId="10" xfId="0" applyFont="1" applyFill="1" applyBorder="1" applyAlignment="1">
      <alignment horizontal="center" vertical="center" wrapText="1"/>
    </xf>
    <xf numFmtId="0" fontId="60" fillId="12" borderId="20" xfId="0" applyFont="1" applyFill="1" applyBorder="1" applyAlignment="1">
      <alignment horizontal="center" vertical="center" wrapText="1"/>
    </xf>
    <xf numFmtId="0" fontId="60" fillId="12" borderId="11" xfId="0" applyFont="1" applyFill="1" applyBorder="1" applyAlignment="1">
      <alignment horizontal="center" vertical="center" wrapText="1"/>
    </xf>
    <xf numFmtId="0" fontId="60" fillId="12" borderId="18" xfId="0" applyFont="1" applyFill="1" applyBorder="1" applyAlignment="1">
      <alignment horizontal="center" vertical="center" wrapText="1"/>
    </xf>
    <xf numFmtId="1" fontId="59" fillId="12" borderId="32" xfId="0" applyNumberFormat="1" applyFont="1" applyFill="1" applyBorder="1" applyAlignment="1">
      <alignment horizontal="right" vertical="center" wrapText="1"/>
    </xf>
    <xf numFmtId="0" fontId="59" fillId="12" borderId="32" xfId="0" applyFont="1" applyFill="1" applyBorder="1" applyAlignment="1">
      <alignment horizontal="right" vertical="center" wrapText="1"/>
    </xf>
    <xf numFmtId="164" fontId="59" fillId="12" borderId="34" xfId="0" applyNumberFormat="1" applyFont="1" applyFill="1" applyBorder="1" applyAlignment="1">
      <alignment horizontal="left" vertical="center" wrapText="1"/>
    </xf>
    <xf numFmtId="1" fontId="60" fillId="12" borderId="32" xfId="0" applyNumberFormat="1" applyFont="1" applyFill="1" applyBorder="1" applyAlignment="1">
      <alignment horizontal="right" vertical="center" wrapText="1"/>
    </xf>
    <xf numFmtId="0" fontId="60" fillId="12" borderId="32" xfId="0" applyFont="1" applyFill="1" applyBorder="1" applyAlignment="1">
      <alignment horizontal="right" vertical="center" wrapText="1"/>
    </xf>
    <xf numFmtId="0" fontId="2" fillId="12" borderId="0" xfId="0" applyFont="1" applyFill="1" applyAlignment="1">
      <alignment horizontal="left" vertical="center" wrapText="1"/>
    </xf>
    <xf numFmtId="1" fontId="59" fillId="12" borderId="29" xfId="0" applyNumberFormat="1" applyFont="1" applyFill="1" applyBorder="1" applyAlignment="1">
      <alignment horizontal="right" vertical="center" wrapText="1"/>
    </xf>
    <xf numFmtId="164" fontId="59" fillId="12" borderId="31" xfId="0" applyNumberFormat="1" applyFont="1" applyFill="1" applyBorder="1" applyAlignment="1">
      <alignment horizontal="left" vertical="center" wrapText="1"/>
    </xf>
    <xf numFmtId="1" fontId="60" fillId="12" borderId="29" xfId="0" applyNumberFormat="1" applyFont="1" applyFill="1" applyBorder="1" applyAlignment="1">
      <alignment horizontal="right" vertical="center" wrapText="1"/>
    </xf>
    <xf numFmtId="164" fontId="60" fillId="12" borderId="31" xfId="0" applyNumberFormat="1" applyFont="1" applyFill="1" applyBorder="1" applyAlignment="1">
      <alignment horizontal="left" vertical="center" wrapText="1"/>
    </xf>
    <xf numFmtId="9" fontId="10" fillId="8" borderId="0" xfId="1" applyNumberFormat="1" applyFont="1" applyFill="1" applyAlignment="1" applyProtection="1">
      <alignment horizontal="left" vertical="center"/>
      <protection hidden="1"/>
    </xf>
    <xf numFmtId="1" fontId="60" fillId="12" borderId="35" xfId="0" applyNumberFormat="1" applyFont="1" applyFill="1" applyBorder="1" applyAlignment="1">
      <alignment horizontal="center" vertical="center" wrapText="1"/>
    </xf>
    <xf numFmtId="1" fontId="60" fillId="12" borderId="37" xfId="0" applyNumberFormat="1" applyFont="1" applyFill="1" applyBorder="1" applyAlignment="1">
      <alignment horizontal="center" vertical="center" wrapText="1"/>
    </xf>
    <xf numFmtId="0" fontId="60" fillId="12" borderId="37" xfId="0" applyFont="1" applyFill="1" applyBorder="1" applyAlignment="1">
      <alignment horizontal="center" vertical="center" wrapText="1"/>
    </xf>
    <xf numFmtId="1" fontId="59" fillId="12" borderId="36" xfId="0" applyNumberFormat="1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 wrapText="1"/>
    </xf>
    <xf numFmtId="0" fontId="0" fillId="7" borderId="17" xfId="0" applyFont="1" applyFill="1" applyBorder="1" applyAlignment="1">
      <alignment horizontal="center" vertical="center" wrapText="1"/>
    </xf>
    <xf numFmtId="0" fontId="29" fillId="7" borderId="29" xfId="0" applyFont="1" applyFill="1" applyBorder="1" applyAlignment="1">
      <alignment horizontal="center" vertical="center" wrapText="1"/>
    </xf>
    <xf numFmtId="0" fontId="0" fillId="7" borderId="32" xfId="0" applyFont="1" applyFill="1" applyBorder="1" applyAlignment="1">
      <alignment horizontal="center" vertical="center" wrapText="1"/>
    </xf>
    <xf numFmtId="1" fontId="59" fillId="12" borderId="30" xfId="0" applyNumberFormat="1" applyFont="1" applyFill="1" applyBorder="1" applyAlignment="1">
      <alignment horizontal="right" vertical="center" wrapText="1"/>
    </xf>
    <xf numFmtId="1" fontId="59" fillId="12" borderId="33" xfId="0" applyNumberFormat="1" applyFont="1" applyFill="1" applyBorder="1" applyAlignment="1">
      <alignment horizontal="right" vertical="center" wrapText="1"/>
    </xf>
    <xf numFmtId="1" fontId="59" fillId="12" borderId="54" xfId="0" applyNumberFormat="1" applyFont="1" applyFill="1" applyBorder="1" applyAlignment="1">
      <alignment horizontal="center" vertical="center" wrapText="1"/>
    </xf>
    <xf numFmtId="1" fontId="59" fillId="12" borderId="55" xfId="0" applyNumberFormat="1" applyFont="1" applyFill="1" applyBorder="1" applyAlignment="1">
      <alignment horizontal="center" vertical="center" wrapText="1"/>
    </xf>
    <xf numFmtId="0" fontId="29" fillId="7" borderId="32" xfId="0" applyFont="1" applyFill="1" applyBorder="1" applyAlignment="1">
      <alignment horizontal="center" vertical="center" wrapText="1"/>
    </xf>
    <xf numFmtId="1" fontId="59" fillId="12" borderId="12" xfId="0" applyNumberFormat="1" applyFont="1" applyFill="1" applyBorder="1" applyAlignment="1">
      <alignment horizontal="center" vertical="center" wrapText="1"/>
    </xf>
    <xf numFmtId="0" fontId="59" fillId="12" borderId="9" xfId="0" applyFont="1" applyFill="1" applyBorder="1" applyAlignment="1">
      <alignment horizontal="center" vertical="center" wrapText="1"/>
    </xf>
    <xf numFmtId="0" fontId="59" fillId="12" borderId="10" xfId="0" applyFont="1" applyFill="1" applyBorder="1" applyAlignment="1">
      <alignment horizontal="center" vertical="center" wrapText="1"/>
    </xf>
    <xf numFmtId="0" fontId="59" fillId="12" borderId="20" xfId="0" applyFont="1" applyFill="1" applyBorder="1" applyAlignment="1">
      <alignment horizontal="center" vertical="center" wrapText="1"/>
    </xf>
    <xf numFmtId="0" fontId="59" fillId="12" borderId="11" xfId="0" applyFont="1" applyFill="1" applyBorder="1" applyAlignment="1">
      <alignment horizontal="center" vertical="center" wrapText="1"/>
    </xf>
    <xf numFmtId="0" fontId="59" fillId="12" borderId="18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0" fillId="7" borderId="12" xfId="0" applyFont="1" applyFill="1" applyBorder="1" applyAlignment="1">
      <alignment horizontal="center" vertical="center" wrapText="1"/>
    </xf>
    <xf numFmtId="0" fontId="0" fillId="7" borderId="19" xfId="0" applyFont="1" applyFill="1" applyBorder="1" applyAlignment="1">
      <alignment horizontal="center" vertical="center" wrapText="1"/>
    </xf>
    <xf numFmtId="0" fontId="0" fillId="7" borderId="10" xfId="0" applyFont="1" applyFill="1" applyBorder="1" applyAlignment="1">
      <alignment horizontal="center" vertical="center" wrapText="1"/>
    </xf>
    <xf numFmtId="0" fontId="0" fillId="7" borderId="0" xfId="0" applyFont="1" applyFill="1" applyBorder="1" applyAlignment="1">
      <alignment horizontal="center" vertical="center" wrapText="1"/>
    </xf>
    <xf numFmtId="1" fontId="59" fillId="12" borderId="9" xfId="0" applyNumberFormat="1" applyFont="1" applyFill="1" applyBorder="1" applyAlignment="1">
      <alignment horizontal="center" vertical="center" wrapText="1"/>
    </xf>
    <xf numFmtId="1" fontId="59" fillId="12" borderId="10" xfId="0" applyNumberFormat="1" applyFont="1" applyFill="1" applyBorder="1" applyAlignment="1">
      <alignment horizontal="center" vertical="center" wrapText="1"/>
    </xf>
    <xf numFmtId="1" fontId="59" fillId="12" borderId="20" xfId="0" applyNumberFormat="1" applyFont="1" applyFill="1" applyBorder="1" applyAlignment="1">
      <alignment horizontal="center" vertical="center" wrapText="1"/>
    </xf>
    <xf numFmtId="1" fontId="59" fillId="12" borderId="11" xfId="0" applyNumberFormat="1" applyFont="1" applyFill="1" applyBorder="1" applyAlignment="1">
      <alignment horizontal="center" vertical="center" wrapText="1"/>
    </xf>
    <xf numFmtId="1" fontId="59" fillId="12" borderId="18" xfId="0" applyNumberFormat="1" applyFont="1" applyFill="1" applyBorder="1" applyAlignment="1">
      <alignment horizontal="center" vertical="center" wrapText="1"/>
    </xf>
    <xf numFmtId="0" fontId="59" fillId="12" borderId="35" xfId="0" applyFont="1" applyFill="1" applyBorder="1" applyAlignment="1">
      <alignment horizontal="center" vertical="center" wrapText="1"/>
    </xf>
    <xf numFmtId="0" fontId="60" fillId="12" borderId="12" xfId="0" applyFont="1" applyFill="1" applyBorder="1" applyAlignment="1">
      <alignment horizontal="center" vertical="center" wrapText="1"/>
    </xf>
    <xf numFmtId="0" fontId="60" fillId="12" borderId="35" xfId="0" applyFont="1" applyFill="1" applyBorder="1" applyAlignment="1">
      <alignment horizontal="center" vertical="center" wrapText="1"/>
    </xf>
    <xf numFmtId="0" fontId="59" fillId="12" borderId="12" xfId="0" applyFont="1" applyFill="1" applyBorder="1" applyAlignment="1">
      <alignment horizontal="center" vertical="center" wrapText="1"/>
    </xf>
    <xf numFmtId="0" fontId="59" fillId="12" borderId="29" xfId="0" applyFont="1" applyFill="1" applyBorder="1" applyAlignment="1">
      <alignment horizontal="right" vertical="center" wrapText="1"/>
    </xf>
    <xf numFmtId="0" fontId="60" fillId="12" borderId="29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6" fillId="15" borderId="0" xfId="0" applyFont="1" applyFill="1" applyAlignment="1">
      <alignment horizontal="center"/>
    </xf>
    <xf numFmtId="0" fontId="6" fillId="15" borderId="65" xfId="0" applyFont="1" applyFill="1" applyBorder="1" applyAlignment="1">
      <alignment horizontal="center"/>
    </xf>
    <xf numFmtId="0" fontId="6" fillId="15" borderId="66" xfId="0" applyFont="1" applyFill="1" applyBorder="1" applyAlignment="1">
      <alignment horizontal="center"/>
    </xf>
    <xf numFmtId="0" fontId="55" fillId="6" borderId="0" xfId="5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6" fillId="12" borderId="1" xfId="0" applyFont="1" applyFill="1" applyBorder="1" applyAlignment="1" applyProtection="1">
      <alignment horizontal="left" vertical="center" wrapText="1" indent="1"/>
    </xf>
    <xf numFmtId="0" fontId="6" fillId="12" borderId="1" xfId="0" applyFont="1" applyFill="1" applyBorder="1" applyAlignment="1" applyProtection="1">
      <alignment horizontal="center" vertical="center" wrapText="1"/>
    </xf>
    <xf numFmtId="0" fontId="34" fillId="12" borderId="39" xfId="6" applyFont="1" applyFill="1" applyBorder="1" applyAlignment="1" applyProtection="1">
      <alignment horizontal="right" vertical="center" shrinkToFit="1"/>
    </xf>
    <xf numFmtId="0" fontId="6" fillId="13" borderId="1" xfId="0" applyFont="1" applyFill="1" applyBorder="1" applyAlignment="1" applyProtection="1">
      <alignment horizontal="left" vertical="center" wrapText="1" indent="1"/>
    </xf>
    <xf numFmtId="0" fontId="6" fillId="13" borderId="1" xfId="0" applyFont="1" applyFill="1" applyBorder="1" applyAlignment="1" applyProtection="1">
      <alignment horizontal="center" vertical="center" wrapText="1"/>
    </xf>
    <xf numFmtId="0" fontId="34" fillId="13" borderId="39" xfId="6" applyFont="1" applyFill="1" applyBorder="1" applyAlignment="1" applyProtection="1">
      <alignment horizontal="right" vertical="center" shrinkToFit="1"/>
    </xf>
    <xf numFmtId="0" fontId="0" fillId="0" borderId="19" xfId="0" applyBorder="1" applyAlignment="1" applyProtection="1">
      <alignment vertical="center"/>
    </xf>
    <xf numFmtId="0" fontId="39" fillId="12" borderId="21" xfId="5" applyFont="1" applyFill="1" applyBorder="1" applyAlignment="1" applyProtection="1">
      <alignment horizontal="center" vertical="center" wrapText="1"/>
    </xf>
    <xf numFmtId="0" fontId="39" fillId="12" borderId="22" xfId="5" applyFont="1" applyFill="1" applyBorder="1" applyAlignment="1" applyProtection="1">
      <alignment horizontal="center" vertical="center" wrapText="1"/>
    </xf>
    <xf numFmtId="0" fontId="39" fillId="12" borderId="23" xfId="5" applyFont="1" applyFill="1" applyBorder="1" applyAlignment="1" applyProtection="1">
      <alignment horizontal="center" vertical="center" wrapText="1"/>
    </xf>
    <xf numFmtId="0" fontId="39" fillId="12" borderId="24" xfId="5" applyFont="1" applyFill="1" applyBorder="1" applyAlignment="1" applyProtection="1">
      <alignment horizontal="center" vertical="center" wrapText="1"/>
    </xf>
    <xf numFmtId="0" fontId="39" fillId="12" borderId="0" xfId="5" applyFont="1" applyFill="1" applyBorder="1" applyAlignment="1" applyProtection="1">
      <alignment horizontal="center" vertical="center" wrapText="1"/>
    </xf>
    <xf numFmtId="0" fontId="39" fillId="12" borderId="25" xfId="5" applyFont="1" applyFill="1" applyBorder="1" applyAlignment="1" applyProtection="1">
      <alignment horizontal="center" vertical="center" wrapText="1"/>
    </xf>
    <xf numFmtId="9" fontId="16" fillId="11" borderId="15" xfId="4" applyNumberFormat="1" applyBorder="1" applyAlignment="1" applyProtection="1">
      <alignment horizontal="center" vertical="center"/>
      <protection hidden="1"/>
    </xf>
    <xf numFmtId="9" fontId="16" fillId="11" borderId="50" xfId="4" applyNumberFormat="1" applyBorder="1" applyAlignment="1" applyProtection="1">
      <alignment horizontal="center" vertical="center"/>
      <protection hidden="1"/>
    </xf>
    <xf numFmtId="9" fontId="16" fillId="11" borderId="49" xfId="4" applyNumberFormat="1" applyBorder="1" applyAlignment="1" applyProtection="1">
      <alignment horizontal="center" vertical="center"/>
      <protection hidden="1"/>
    </xf>
    <xf numFmtId="0" fontId="39" fillId="12" borderId="26" xfId="5" applyFont="1" applyFill="1" applyBorder="1" applyAlignment="1" applyProtection="1">
      <alignment horizontal="center" vertical="center" wrapText="1"/>
    </xf>
    <xf numFmtId="0" fontId="39" fillId="12" borderId="27" xfId="5" applyFont="1" applyFill="1" applyBorder="1" applyAlignment="1" applyProtection="1">
      <alignment horizontal="center" vertical="center" wrapText="1"/>
    </xf>
    <xf numFmtId="0" fontId="39" fillId="12" borderId="28" xfId="5" applyFont="1" applyFill="1" applyBorder="1" applyAlignment="1" applyProtection="1">
      <alignment horizontal="center" vertical="center" wrapText="1"/>
    </xf>
    <xf numFmtId="9" fontId="36" fillId="9" borderId="16" xfId="2" applyNumberFormat="1" applyFont="1" applyBorder="1" applyAlignment="1" applyProtection="1">
      <alignment horizontal="center" vertical="center"/>
      <protection hidden="1"/>
    </xf>
    <xf numFmtId="9" fontId="36" fillId="9" borderId="52" xfId="2" applyNumberFormat="1" applyFont="1" applyBorder="1" applyAlignment="1" applyProtection="1">
      <alignment horizontal="center" vertical="center"/>
      <protection hidden="1"/>
    </xf>
    <xf numFmtId="9" fontId="14" fillId="12" borderId="51" xfId="2" applyNumberFormat="1" applyFill="1" applyBorder="1" applyAlignment="1" applyProtection="1">
      <alignment horizontal="center" vertical="center"/>
      <protection hidden="1"/>
    </xf>
    <xf numFmtId="9" fontId="14" fillId="12" borderId="52" xfId="2" applyNumberFormat="1" applyFill="1" applyBorder="1" applyAlignment="1" applyProtection="1">
      <alignment horizontal="center" vertical="center"/>
      <protection hidden="1"/>
    </xf>
    <xf numFmtId="9" fontId="0" fillId="12" borderId="51" xfId="2" applyNumberFormat="1" applyFont="1" applyFill="1" applyBorder="1" applyAlignment="1" applyProtection="1">
      <alignment horizontal="center" vertical="center"/>
      <protection hidden="1"/>
    </xf>
    <xf numFmtId="9" fontId="14" fillId="12" borderId="52" xfId="2" applyNumberFormat="1" applyFill="1" applyBorder="1" applyAlignment="1" applyProtection="1">
      <alignment horizontal="center" vertical="center"/>
      <protection hidden="1"/>
    </xf>
    <xf numFmtId="9" fontId="14" fillId="12" borderId="16" xfId="2" applyNumberFormat="1" applyFill="1" applyBorder="1" applyAlignment="1" applyProtection="1">
      <alignment horizontal="center" vertical="center"/>
      <protection hidden="1"/>
    </xf>
    <xf numFmtId="9" fontId="36" fillId="9" borderId="51" xfId="2" applyNumberFormat="1" applyFont="1" applyBorder="1" applyAlignment="1" applyProtection="1">
      <alignment horizontal="center" vertical="center"/>
      <protection hidden="1"/>
    </xf>
    <xf numFmtId="0" fontId="17" fillId="6" borderId="0" xfId="0" applyFont="1" applyFill="1" applyAlignment="1" applyProtection="1">
      <alignment vertical="center"/>
    </xf>
    <xf numFmtId="0" fontId="41" fillId="6" borderId="0" xfId="0" applyFont="1" applyFill="1" applyAlignment="1" applyProtection="1">
      <alignment vertical="center"/>
    </xf>
    <xf numFmtId="0" fontId="0" fillId="0" borderId="0" xfId="0" applyFill="1" applyProtection="1"/>
  </cellXfs>
  <cellStyles count="9">
    <cellStyle name="Bad" xfId="3" builtinId="27"/>
    <cellStyle name="Good" xfId="2" builtinId="26"/>
    <cellStyle name="Hyperlink" xfId="5" builtinId="8"/>
    <cellStyle name="Neutral" xfId="4" builtinId="28"/>
    <cellStyle name="Normal" xfId="0" builtinId="0"/>
    <cellStyle name="Normal 2" xfId="6" xr:uid="{00000000-0005-0000-0000-000005000000}"/>
    <cellStyle name="Normal 2 2 2" xfId="7" xr:uid="{00000000-0005-0000-0000-000006000000}"/>
    <cellStyle name="Normal 5" xfId="1" xr:uid="{00000000-0005-0000-0000-000007000000}"/>
    <cellStyle name="Percent" xfId="8" builtinId="5"/>
  </cellStyles>
  <dxfs count="202">
    <dxf>
      <font>
        <color rgb="FF7C2855"/>
      </font>
      <fill>
        <patternFill>
          <bgColor rgb="FFF1D3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7C2855"/>
      </font>
      <fill>
        <patternFill>
          <bgColor rgb="FFF1D3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C2307C"/>
      <color rgb="FF7C2855"/>
      <color rgb="FFFFC7CE"/>
      <color rgb="FFF1D3E3"/>
      <color rgb="FF9C0006"/>
      <color rgb="FF9C6500"/>
      <color rgb="FFFFEB9C"/>
      <color rgb="FF006100"/>
      <color rgb="FFC6EFCE"/>
      <color rgb="FFC4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Q1'!$I$10:$I$26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Torquay, Torbay General District Hospital </c:v>
                </c:pt>
                <c:pt idx="6">
                  <c:v>Aneurin Bevan UHB, Nevill Hall &amp; Royal Gwent Hospitals</c:v>
                </c:pt>
                <c:pt idx="7">
                  <c:v>Cwm Taf Morgannwg UHB, Princess of Wales Hospital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Hywel Dda UHB, Withybush Hospital</c:v>
                </c:pt>
                <c:pt idx="11">
                  <c:v>Taunton, Musgrove Park Hospital </c:v>
                </c:pt>
                <c:pt idx="12">
                  <c:v>Hywel Dda UHB, Glangwilli Hospital</c:v>
                </c:pt>
                <c:pt idx="13">
                  <c:v>Gloucester, Gloucestershire Hospitals</c:v>
                </c:pt>
                <c:pt idx="14">
                  <c:v>Bristol, Bristol Heart Institute </c:v>
                </c:pt>
                <c:pt idx="15">
                  <c:v>Barnstaple, North Devon District Hospital </c:v>
                </c:pt>
                <c:pt idx="16">
                  <c:v>Swansea Bay UHB, Morriston / Singleton Hospitals</c:v>
                </c:pt>
              </c:strCache>
            </c:strRef>
          </c:cat>
          <c:val>
            <c:numRef>
              <c:f>'Graph data Q1'!$J$10:$J$26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13</c:v>
                </c:pt>
                <c:pt idx="14">
                  <c:v>22</c:v>
                </c:pt>
                <c:pt idx="15">
                  <c:v>27</c:v>
                </c:pt>
                <c:pt idx="16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Q1'!$K$9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Q1'!$I$10:$I$26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Torquay, Torbay General District Hospital </c:v>
                </c:pt>
                <c:pt idx="6">
                  <c:v>Aneurin Bevan UHB, Nevill Hall &amp; Royal Gwent Hospitals</c:v>
                </c:pt>
                <c:pt idx="7">
                  <c:v>Cwm Taf Morgannwg UHB, Princess of Wales Hospital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Hywel Dda UHB, Withybush Hospital</c:v>
                </c:pt>
                <c:pt idx="11">
                  <c:v>Taunton, Musgrove Park Hospital </c:v>
                </c:pt>
                <c:pt idx="12">
                  <c:v>Hywel Dda UHB, Glangwilli Hospital</c:v>
                </c:pt>
                <c:pt idx="13">
                  <c:v>Gloucester, Gloucestershire Hospitals</c:v>
                </c:pt>
                <c:pt idx="14">
                  <c:v>Bristol, Bristol Heart Institute </c:v>
                </c:pt>
                <c:pt idx="15">
                  <c:v>Barnstaple, North Devon District Hospital </c:v>
                </c:pt>
                <c:pt idx="16">
                  <c:v>Swansea Bay UHB, Morriston / Singleton Hospitals</c:v>
                </c:pt>
              </c:strCache>
            </c:strRef>
          </c:cat>
          <c:val>
            <c:numRef>
              <c:f>'Graph data Q1'!$K$10:$K$26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</c:v>
                </c:pt>
                <c:pt idx="12">
                  <c:v>13</c:v>
                </c:pt>
                <c:pt idx="13">
                  <c:v>13</c:v>
                </c:pt>
                <c:pt idx="14">
                  <c:v>0</c:v>
                </c:pt>
                <c:pt idx="15">
                  <c:v>27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7606784"/>
        <c:axId val="237608320"/>
      </c:barChart>
      <c:catAx>
        <c:axId val="237606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7608320"/>
        <c:crosses val="autoZero"/>
        <c:auto val="1"/>
        <c:lblAlgn val="ctr"/>
        <c:lblOffset val="100"/>
        <c:noMultiLvlLbl val="0"/>
      </c:catAx>
      <c:valAx>
        <c:axId val="237608320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7606784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Q1'!$N$81:$N$97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Torquay, Torbay General District Hospital </c:v>
                </c:pt>
                <c:pt idx="6">
                  <c:v>Aneurin Bevan UHB, Nevill Hall &amp; Royal Gwent Hospitals</c:v>
                </c:pt>
                <c:pt idx="7">
                  <c:v>Cwm Taf Morgannwg UHB, Princess of Wales Hospital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Hywel Dda UHB, Withybush Hospital</c:v>
                </c:pt>
                <c:pt idx="11">
                  <c:v>Swansea Bay UHB, Morriston / Singleton Hospitals</c:v>
                </c:pt>
                <c:pt idx="12">
                  <c:v>Bristol, Bristol Heart Institute</c:v>
                </c:pt>
                <c:pt idx="13">
                  <c:v>Hywel Dda UHB, Glangwilli Hospital</c:v>
                </c:pt>
                <c:pt idx="14">
                  <c:v>Barnstaple, North Devon District Hospital </c:v>
                </c:pt>
                <c:pt idx="15">
                  <c:v>Gloucester, Gloucestershire Hospitals</c:v>
                </c:pt>
                <c:pt idx="16">
                  <c:v>Taunton, Musgrove Park Hospital </c:v>
                </c:pt>
              </c:strCache>
            </c:strRef>
          </c:cat>
          <c:val>
            <c:numRef>
              <c:f>'Graph data Q1'!$O$81:$O$97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7.4999999999999997E-2</c:v>
                </c:pt>
                <c:pt idx="14">
                  <c:v>0.14000000000000001</c:v>
                </c:pt>
                <c:pt idx="15">
                  <c:v>0.148148148148148</c:v>
                </c:pt>
                <c:pt idx="1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38411776"/>
        <c:axId val="238414464"/>
      </c:barChart>
      <c:catAx>
        <c:axId val="238411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414464"/>
        <c:crosses val="autoZero"/>
        <c:auto val="1"/>
        <c:lblAlgn val="ctr"/>
        <c:lblOffset val="100"/>
        <c:noMultiLvlLbl val="0"/>
      </c:catAx>
      <c:valAx>
        <c:axId val="23841446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4117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Q1'!$F$103:$M$103</c:f>
              <c:numCache>
                <c:formatCode>0%</c:formatCode>
                <c:ptCount val="8"/>
                <c:pt idx="0">
                  <c:v>0.15</c:v>
                </c:pt>
                <c:pt idx="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CD1-9AA7-BE661D663D89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Q1'!$F$104:$M$104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CD1-9AA7-BE661D663D89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Q1'!$F$105:$M$105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CD1-9AA7-BE661D663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38444928"/>
        <c:axId val="238446464"/>
      </c:stockChart>
      <c:catAx>
        <c:axId val="238444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8446464"/>
        <c:crosses val="autoZero"/>
        <c:auto val="1"/>
        <c:lblAlgn val="ctr"/>
        <c:lblOffset val="100"/>
        <c:noMultiLvlLbl val="0"/>
      </c:catAx>
      <c:valAx>
        <c:axId val="23844646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38444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Q1'!$E$109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Q1'!$F$109:$M$109</c:f>
              <c:numCache>
                <c:formatCode>0%</c:formatCode>
                <c:ptCount val="8"/>
                <c:pt idx="0">
                  <c:v>0.28999999999999998</c:v>
                </c:pt>
                <c:pt idx="1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0-41D5-BA60-207E58A1A440}"/>
            </c:ext>
          </c:extLst>
        </c:ser>
        <c:ser>
          <c:idx val="1"/>
          <c:order val="1"/>
          <c:tx>
            <c:strRef>
              <c:f>'Graph data Q1'!$E$110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0-41D5-BA60-207E58A1A440}"/>
            </c:ext>
          </c:extLst>
        </c:ser>
        <c:ser>
          <c:idx val="2"/>
          <c:order val="2"/>
          <c:tx>
            <c:strRef>
              <c:f>'Graph data Q1'!$E$111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Q1'!$F$111:$M$111</c:f>
              <c:numCache>
                <c:formatCode>0%</c:formatCode>
                <c:ptCount val="8"/>
                <c:pt idx="0">
                  <c:v>0.08</c:v>
                </c:pt>
                <c:pt idx="1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F0-41D5-BA60-207E58A1A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38488960"/>
        <c:axId val="238490752"/>
      </c:stockChart>
      <c:catAx>
        <c:axId val="238488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8490752"/>
        <c:crosses val="autoZero"/>
        <c:auto val="1"/>
        <c:lblAlgn val="ctr"/>
        <c:lblOffset val="100"/>
        <c:noMultiLvlLbl val="0"/>
      </c:catAx>
      <c:valAx>
        <c:axId val="2384907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8488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Q2'!$I$10:$I$26</c:f>
              <c:strCache>
                <c:ptCount val="17"/>
                <c:pt idx="0">
                  <c:v>Hywel Dda UHB, Glangwilli Hospital</c:v>
                </c:pt>
                <c:pt idx="1">
                  <c:v>Exeter, Royal Devon and Exeter Hospital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Aneurin Bevan UHB, Nevill Hall &amp; Royal Gwent Hospitals</c:v>
                </c:pt>
                <c:pt idx="5">
                  <c:v>Cwm Taf Morgannwg UHB, Princess of Wales Hospital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Withybush Hospital</c:v>
                </c:pt>
                <c:pt idx="9">
                  <c:v>Taunton, Musgrove Park Hospital </c:v>
                </c:pt>
                <c:pt idx="10">
                  <c:v>Swansea Bay UHB, Morriston / Singleton Hospitals</c:v>
                </c:pt>
                <c:pt idx="11">
                  <c:v>Torquay, Torbay General District Hospital </c:v>
                </c:pt>
                <c:pt idx="12">
                  <c:v>Gloucester, Gloucestershire Hospitals</c:v>
                </c:pt>
                <c:pt idx="13">
                  <c:v>Cardiff &amp; Vale UHB, Noah’s Ark / University Hospital Wales</c:v>
                </c:pt>
                <c:pt idx="14">
                  <c:v>Barnstaple, North Devon District Hospital </c:v>
                </c:pt>
                <c:pt idx="15">
                  <c:v>Bristol, Bristol Heart Institute</c:v>
                </c:pt>
                <c:pt idx="16">
                  <c:v>Plymouth, Derriford Hospital </c:v>
                </c:pt>
              </c:strCache>
            </c:strRef>
          </c:cat>
          <c:val>
            <c:numRef>
              <c:f>'Graph data Q2'!$J$10:$J$26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12</c:v>
                </c:pt>
                <c:pt idx="13">
                  <c:v>24</c:v>
                </c:pt>
                <c:pt idx="14">
                  <c:v>32</c:v>
                </c:pt>
                <c:pt idx="15">
                  <c:v>34</c:v>
                </c:pt>
                <c:pt idx="1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Q2'!$K$9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Q2'!$I$10:$I$26</c:f>
              <c:strCache>
                <c:ptCount val="17"/>
                <c:pt idx="0">
                  <c:v>Hywel Dda UHB, Glangwilli Hospital</c:v>
                </c:pt>
                <c:pt idx="1">
                  <c:v>Exeter, Royal Devon and Exeter Hospital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Aneurin Bevan UHB, Nevill Hall &amp; Royal Gwent Hospitals</c:v>
                </c:pt>
                <c:pt idx="5">
                  <c:v>Cwm Taf Morgannwg UHB, Princess of Wales Hospital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Withybush Hospital</c:v>
                </c:pt>
                <c:pt idx="9">
                  <c:v>Taunton, Musgrove Park Hospital </c:v>
                </c:pt>
                <c:pt idx="10">
                  <c:v>Swansea Bay UHB, Morriston / Singleton Hospitals</c:v>
                </c:pt>
                <c:pt idx="11">
                  <c:v>Torquay, Torbay General District Hospital </c:v>
                </c:pt>
                <c:pt idx="12">
                  <c:v>Gloucester, Gloucestershire Hospitals</c:v>
                </c:pt>
                <c:pt idx="13">
                  <c:v>Cardiff &amp; Vale UHB, Noah’s Ark / University Hospital Wales</c:v>
                </c:pt>
                <c:pt idx="14">
                  <c:v>Barnstaple, North Devon District Hospital </c:v>
                </c:pt>
                <c:pt idx="15">
                  <c:v>Bristol, Bristol Heart Institute</c:v>
                </c:pt>
                <c:pt idx="16">
                  <c:v>Plymouth, Derriford Hospital </c:v>
                </c:pt>
              </c:strCache>
            </c:strRef>
          </c:cat>
          <c:val>
            <c:numRef>
              <c:f>'Graph data Q2'!$K$10:$K$26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32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1302912"/>
        <c:axId val="238765184"/>
      </c:barChart>
      <c:catAx>
        <c:axId val="241302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8765184"/>
        <c:crosses val="autoZero"/>
        <c:auto val="1"/>
        <c:lblAlgn val="ctr"/>
        <c:lblOffset val="100"/>
        <c:noMultiLvlLbl val="0"/>
      </c:catAx>
      <c:valAx>
        <c:axId val="238765184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1302912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Q2'!$B$10:$B$27</c:f>
              <c:strCache>
                <c:ptCount val="18"/>
                <c:pt idx="0">
                  <c:v>Barnstaple, North Devon District Hospital </c:v>
                </c:pt>
                <c:pt idx="1">
                  <c:v>Gloucester, Gloucestershire Hospitals</c:v>
                </c:pt>
                <c:pt idx="2">
                  <c:v>Plymouth, Derriford Hospital </c:v>
                </c:pt>
                <c:pt idx="3">
                  <c:v>Cwm Taf Morgannwg UHB, Princess of Wales Hospital</c:v>
                </c:pt>
                <c:pt idx="4">
                  <c:v>Swindon, Great Weston Hospital </c:v>
                </c:pt>
                <c:pt idx="5">
                  <c:v>Torquay, Torbay General District Hospital </c:v>
                </c:pt>
                <c:pt idx="6">
                  <c:v>Swansea Bay UHB, Morriston / Singleton Hospitals</c:v>
                </c:pt>
                <c:pt idx="7">
                  <c:v>Truro, Royal Cornwall Hospital 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Cardiff &amp; Vale UHB, Noah’s Ark / University Hospital Wales</c:v>
                </c:pt>
                <c:pt idx="11">
                  <c:v>Exeter, Royal Devon and Exeter Hospital </c:v>
                </c:pt>
                <c:pt idx="12">
                  <c:v>Hywel Dda UHB, Withybush Hospital</c:v>
                </c:pt>
                <c:pt idx="13">
                  <c:v>Aneurin Bevan UHB, Nevill Hall &amp; Royal Gwent Hospitals</c:v>
                </c:pt>
                <c:pt idx="14">
                  <c:v>Bath, Royal United Hospital </c:v>
                </c:pt>
                <c:pt idx="15">
                  <c:v>Taunton, Musgrove Park Hospital </c:v>
                </c:pt>
                <c:pt idx="16">
                  <c:v>Hywel Dda UHB, Glangwilli Hospital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Q2'!$C$10:$C$27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6.33</c:v>
                </c:pt>
                <c:pt idx="7">
                  <c:v>7</c:v>
                </c:pt>
                <c:pt idx="8">
                  <c:v>13</c:v>
                </c:pt>
                <c:pt idx="9">
                  <c:v>14</c:v>
                </c:pt>
                <c:pt idx="10">
                  <c:v>17</c:v>
                </c:pt>
                <c:pt idx="11">
                  <c:v>19</c:v>
                </c:pt>
                <c:pt idx="12">
                  <c:v>10</c:v>
                </c:pt>
                <c:pt idx="13">
                  <c:v>30</c:v>
                </c:pt>
                <c:pt idx="14">
                  <c:v>39</c:v>
                </c:pt>
                <c:pt idx="15">
                  <c:v>46</c:v>
                </c:pt>
                <c:pt idx="16">
                  <c:v>4</c:v>
                </c:pt>
                <c:pt idx="1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Q2'!$D$9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Q2'!$B$10:$B$27</c:f>
              <c:strCache>
                <c:ptCount val="18"/>
                <c:pt idx="0">
                  <c:v>Barnstaple, North Devon District Hospital </c:v>
                </c:pt>
                <c:pt idx="1">
                  <c:v>Gloucester, Gloucestershire Hospitals</c:v>
                </c:pt>
                <c:pt idx="2">
                  <c:v>Plymouth, Derriford Hospital </c:v>
                </c:pt>
                <c:pt idx="3">
                  <c:v>Cwm Taf Morgannwg UHB, Princess of Wales Hospital</c:v>
                </c:pt>
                <c:pt idx="4">
                  <c:v>Swindon, Great Weston Hospital </c:v>
                </c:pt>
                <c:pt idx="5">
                  <c:v>Torquay, Torbay General District Hospital </c:v>
                </c:pt>
                <c:pt idx="6">
                  <c:v>Swansea Bay UHB, Morriston / Singleton Hospitals</c:v>
                </c:pt>
                <c:pt idx="7">
                  <c:v>Truro, Royal Cornwall Hospital 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Cardiff &amp; Vale UHB, Noah’s Ark / University Hospital Wales</c:v>
                </c:pt>
                <c:pt idx="11">
                  <c:v>Exeter, Royal Devon and Exeter Hospital </c:v>
                </c:pt>
                <c:pt idx="12">
                  <c:v>Hywel Dda UHB, Withybush Hospital</c:v>
                </c:pt>
                <c:pt idx="13">
                  <c:v>Aneurin Bevan UHB, Nevill Hall &amp; Royal Gwent Hospitals</c:v>
                </c:pt>
                <c:pt idx="14">
                  <c:v>Bath, Royal United Hospital </c:v>
                </c:pt>
                <c:pt idx="15">
                  <c:v>Taunton, Musgrove Park Hospital </c:v>
                </c:pt>
                <c:pt idx="16">
                  <c:v>Hywel Dda UHB, Glangwilli Hospital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Q2'!$D$10:$D$27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9.2899999999999991</c:v>
                </c:pt>
                <c:pt idx="7">
                  <c:v>10</c:v>
                </c:pt>
                <c:pt idx="8">
                  <c:v>3</c:v>
                </c:pt>
                <c:pt idx="9">
                  <c:v>14</c:v>
                </c:pt>
                <c:pt idx="10">
                  <c:v>0</c:v>
                </c:pt>
                <c:pt idx="11">
                  <c:v>15</c:v>
                </c:pt>
                <c:pt idx="12">
                  <c:v>20</c:v>
                </c:pt>
                <c:pt idx="13">
                  <c:v>12</c:v>
                </c:pt>
                <c:pt idx="14">
                  <c:v>6</c:v>
                </c:pt>
                <c:pt idx="15">
                  <c:v>46</c:v>
                </c:pt>
                <c:pt idx="16">
                  <c:v>52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8821376"/>
        <c:axId val="238822912"/>
      </c:barChart>
      <c:catAx>
        <c:axId val="238821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8822912"/>
        <c:crosses val="autoZero"/>
        <c:auto val="1"/>
        <c:lblAlgn val="ctr"/>
        <c:lblOffset val="100"/>
        <c:noMultiLvlLbl val="0"/>
      </c:catAx>
      <c:valAx>
        <c:axId val="23882291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882137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Q2'!$I$36:$I$52</c:f>
              <c:strCache>
                <c:ptCount val="17"/>
                <c:pt idx="0">
                  <c:v>Hywel Dda UHB, Glangwilli Hospital</c:v>
                </c:pt>
                <c:pt idx="1">
                  <c:v>Exeter, Royal Devon and Exeter Hospital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Aneurin Bevan UHB, Nevill Hall &amp; Royal Gwent Hospitals</c:v>
                </c:pt>
                <c:pt idx="5">
                  <c:v>Cwm Taf Morgannwg UHB, Princess of Wales Hospital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Hywel Dda UHB, Withybush Hospital</c:v>
                </c:pt>
                <c:pt idx="11">
                  <c:v>Cardiff &amp; Vale UHB, Noah’s Ark / University Hospital Wales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Swansea Bay UHB, Morriston / Singleton Hospitals</c:v>
                </c:pt>
                <c:pt idx="15">
                  <c:v>Bristol, Bristol Heart Institute</c:v>
                </c:pt>
                <c:pt idx="16">
                  <c:v>Plymouth, Derriford Hospital </c:v>
                </c:pt>
              </c:strCache>
            </c:strRef>
          </c:cat>
          <c:val>
            <c:numRef>
              <c:f>'Graph data Q2'!$J$36:$J$52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18</c:v>
                </c:pt>
                <c:pt idx="13">
                  <c:v>8</c:v>
                </c:pt>
                <c:pt idx="14">
                  <c:v>23</c:v>
                </c:pt>
                <c:pt idx="15">
                  <c:v>334</c:v>
                </c:pt>
                <c:pt idx="16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Q2'!$K$35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Q2'!$I$36:$I$52</c:f>
              <c:strCache>
                <c:ptCount val="17"/>
                <c:pt idx="0">
                  <c:v>Hywel Dda UHB, Glangwilli Hospital</c:v>
                </c:pt>
                <c:pt idx="1">
                  <c:v>Exeter, Royal Devon and Exeter Hospital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Aneurin Bevan UHB, Nevill Hall &amp; Royal Gwent Hospitals</c:v>
                </c:pt>
                <c:pt idx="5">
                  <c:v>Cwm Taf Morgannwg UHB, Princess of Wales Hospital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Hywel Dda UHB, Withybush Hospital</c:v>
                </c:pt>
                <c:pt idx="11">
                  <c:v>Cardiff &amp; Vale UHB, Noah’s Ark / University Hospital Wales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Swansea Bay UHB, Morriston / Singleton Hospitals</c:v>
                </c:pt>
                <c:pt idx="15">
                  <c:v>Bristol, Bristol Heart Institute</c:v>
                </c:pt>
                <c:pt idx="16">
                  <c:v>Plymouth, Derriford Hospital </c:v>
                </c:pt>
              </c:strCache>
            </c:strRef>
          </c:cat>
          <c:val>
            <c:numRef>
              <c:f>'Graph data Q2'!$K$36:$K$52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37</c:v>
                </c:pt>
                <c:pt idx="12">
                  <c:v>38</c:v>
                </c:pt>
                <c:pt idx="13">
                  <c:v>21</c:v>
                </c:pt>
                <c:pt idx="14">
                  <c:v>29</c:v>
                </c:pt>
                <c:pt idx="15">
                  <c:v>115</c:v>
                </c:pt>
                <c:pt idx="16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Q2'!$L$35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Q2'!$I$36:$I$52</c:f>
              <c:strCache>
                <c:ptCount val="17"/>
                <c:pt idx="0">
                  <c:v>Hywel Dda UHB, Glangwilli Hospital</c:v>
                </c:pt>
                <c:pt idx="1">
                  <c:v>Exeter, Royal Devon and Exeter Hospital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Aneurin Bevan UHB, Nevill Hall &amp; Royal Gwent Hospitals</c:v>
                </c:pt>
                <c:pt idx="5">
                  <c:v>Cwm Taf Morgannwg UHB, Princess of Wales Hospital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Hywel Dda UHB, Withybush Hospital</c:v>
                </c:pt>
                <c:pt idx="11">
                  <c:v>Cardiff &amp; Vale UHB, Noah’s Ark / University Hospital Wales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Swansea Bay UHB, Morriston / Singleton Hospitals</c:v>
                </c:pt>
                <c:pt idx="15">
                  <c:v>Bristol, Bristol Heart Institute</c:v>
                </c:pt>
                <c:pt idx="16">
                  <c:v>Plymouth, Derriford Hospital </c:v>
                </c:pt>
              </c:strCache>
            </c:strRef>
          </c:cat>
          <c:val>
            <c:numRef>
              <c:f>'Graph data Q2'!$L$36:$L$52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20</c:v>
                </c:pt>
                <c:pt idx="12">
                  <c:v>8</c:v>
                </c:pt>
                <c:pt idx="13">
                  <c:v>41</c:v>
                </c:pt>
                <c:pt idx="14">
                  <c:v>55</c:v>
                </c:pt>
                <c:pt idx="15">
                  <c:v>15</c:v>
                </c:pt>
                <c:pt idx="16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859776"/>
        <c:axId val="238861312"/>
      </c:barChart>
      <c:catAx>
        <c:axId val="238859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861312"/>
        <c:crosses val="autoZero"/>
        <c:auto val="1"/>
        <c:lblAlgn val="ctr"/>
        <c:lblOffset val="100"/>
        <c:noMultiLvlLbl val="0"/>
      </c:catAx>
      <c:valAx>
        <c:axId val="2388613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859776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Q2'!$I$58:$I$74</c:f>
              <c:strCache>
                <c:ptCount val="17"/>
                <c:pt idx="0">
                  <c:v>Hywel Dda UHB, Glangwilli Hospital</c:v>
                </c:pt>
                <c:pt idx="1">
                  <c:v>Exeter, Royal Devon and Exeter Hospital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Bristol, Bristol Heart Institute</c:v>
                </c:pt>
                <c:pt idx="5">
                  <c:v>Cardiff &amp; Vale UHB, Noah’s Ark / University Hospital Wales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Withybush Hospital</c:v>
                </c:pt>
                <c:pt idx="9">
                  <c:v>Swansea Bay UHB, Morriston / Singleton Hospitals</c:v>
                </c:pt>
                <c:pt idx="10">
                  <c:v>Plymouth, Derriford Hospital 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Barnstaple, North Devon District Hospital </c:v>
                </c:pt>
                <c:pt idx="15">
                  <c:v>Aneurin Bevan UHB, Nevill Hall &amp; Royal Gwent Hospitals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Q2'!$J$58:$J$74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8</c:v>
                </c:pt>
                <c:pt idx="13">
                  <c:v>8</c:v>
                </c:pt>
                <c:pt idx="14">
                  <c:v>18</c:v>
                </c:pt>
                <c:pt idx="15">
                  <c:v>27</c:v>
                </c:pt>
                <c:pt idx="1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Q2'!$K$57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Q2'!$I$58:$I$74</c:f>
              <c:strCache>
                <c:ptCount val="17"/>
                <c:pt idx="0">
                  <c:v>Hywel Dda UHB, Glangwilli Hospital</c:v>
                </c:pt>
                <c:pt idx="1">
                  <c:v>Exeter, Royal Devon and Exeter Hospital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Bristol, Bristol Heart Institute</c:v>
                </c:pt>
                <c:pt idx="5">
                  <c:v>Cardiff &amp; Vale UHB, Noah’s Ark / University Hospital Wales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Withybush Hospital</c:v>
                </c:pt>
                <c:pt idx="9">
                  <c:v>Swansea Bay UHB, Morriston / Singleton Hospitals</c:v>
                </c:pt>
                <c:pt idx="10">
                  <c:v>Plymouth, Derriford Hospital 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Barnstaple, North Devon District Hospital </c:v>
                </c:pt>
                <c:pt idx="15">
                  <c:v>Aneurin Bevan UHB, Nevill Hall &amp; Royal Gwent Hospitals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Q2'!$K$58:$K$74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21</c:v>
                </c:pt>
                <c:pt idx="14">
                  <c:v>38</c:v>
                </c:pt>
                <c:pt idx="15">
                  <c:v>77</c:v>
                </c:pt>
                <c:pt idx="1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Q2'!$L$57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Q2'!$I$58:$I$74</c:f>
              <c:strCache>
                <c:ptCount val="17"/>
                <c:pt idx="0">
                  <c:v>Hywel Dda UHB, Glangwilli Hospital</c:v>
                </c:pt>
                <c:pt idx="1">
                  <c:v>Exeter, Royal Devon and Exeter Hospital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Bristol, Bristol Heart Institute</c:v>
                </c:pt>
                <c:pt idx="5">
                  <c:v>Cardiff &amp; Vale UHB, Noah’s Ark / University Hospital Wales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Withybush Hospital</c:v>
                </c:pt>
                <c:pt idx="9">
                  <c:v>Swansea Bay UHB, Morriston / Singleton Hospitals</c:v>
                </c:pt>
                <c:pt idx="10">
                  <c:v>Plymouth, Derriford Hospital 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Barnstaple, North Devon District Hospital </c:v>
                </c:pt>
                <c:pt idx="15">
                  <c:v>Aneurin Bevan UHB, Nevill Hall &amp; Royal Gwent Hospitals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Q2'!$L$58:$L$74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41</c:v>
                </c:pt>
                <c:pt idx="14">
                  <c:v>8</c:v>
                </c:pt>
                <c:pt idx="15">
                  <c:v>108</c:v>
                </c:pt>
                <c:pt idx="16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922752"/>
        <c:axId val="238924544"/>
      </c:barChart>
      <c:catAx>
        <c:axId val="238922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924544"/>
        <c:crosses val="autoZero"/>
        <c:auto val="1"/>
        <c:lblAlgn val="ctr"/>
        <c:lblOffset val="100"/>
        <c:noMultiLvlLbl val="0"/>
      </c:catAx>
      <c:valAx>
        <c:axId val="23892454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922752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Barnstaple, North Devon District Hospital </c:v>
                </c:pt>
                <c:pt idx="1">
                  <c:v>Gloucester, Gloucestershire Hospitals</c:v>
                </c:pt>
                <c:pt idx="2">
                  <c:v>Plymouth, Derriford Hospital </c:v>
                </c:pt>
                <c:pt idx="3">
                  <c:v>Cwm Taf Morgannwg UHB, Princess of Wales Hospital</c:v>
                </c:pt>
                <c:pt idx="4">
                  <c:v>Cwm Taf Morgannwg UHB, Royal Glamorgan Hospital </c:v>
                </c:pt>
                <c:pt idx="5">
                  <c:v>Hywel Dda UHB, Glangwilli Hospital</c:v>
                </c:pt>
                <c:pt idx="6">
                  <c:v>Swindon, Great Weston Hospital </c:v>
                </c:pt>
                <c:pt idx="7">
                  <c:v>Truro, Royal Cornwall Hospital </c:v>
                </c:pt>
                <c:pt idx="8">
                  <c:v>Hywel Dda UHB, Withybush Hospital</c:v>
                </c:pt>
                <c:pt idx="9">
                  <c:v>Bath, Royal United Hospital </c:v>
                </c:pt>
                <c:pt idx="10">
                  <c:v>Cwm Taf Morgannwg UHB, Prince Charles Hospital</c:v>
                </c:pt>
                <c:pt idx="11">
                  <c:v>Swansea Bay UHB, Morriston / Singleton Hospitals</c:v>
                </c:pt>
                <c:pt idx="12">
                  <c:v>Taunton, Musgrove Park Hospital 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Q2'!$C$36:$C$53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10</c:v>
                </c:pt>
                <c:pt idx="12">
                  <c:v>63</c:v>
                </c:pt>
                <c:pt idx="13">
                  <c:v>39</c:v>
                </c:pt>
                <c:pt idx="14">
                  <c:v>37</c:v>
                </c:pt>
                <c:pt idx="15">
                  <c:v>31</c:v>
                </c:pt>
                <c:pt idx="16">
                  <c:v>132</c:v>
                </c:pt>
                <c:pt idx="17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Q2'!$D$35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Barnstaple, North Devon District Hospital </c:v>
                </c:pt>
                <c:pt idx="1">
                  <c:v>Gloucester, Gloucestershire Hospitals</c:v>
                </c:pt>
                <c:pt idx="2">
                  <c:v>Plymouth, Derriford Hospital </c:v>
                </c:pt>
                <c:pt idx="3">
                  <c:v>Cwm Taf Morgannwg UHB, Princess of Wales Hospital</c:v>
                </c:pt>
                <c:pt idx="4">
                  <c:v>Cwm Taf Morgannwg UHB, Royal Glamorgan Hospital </c:v>
                </c:pt>
                <c:pt idx="5">
                  <c:v>Hywel Dda UHB, Glangwilli Hospital</c:v>
                </c:pt>
                <c:pt idx="6">
                  <c:v>Swindon, Great Weston Hospital </c:v>
                </c:pt>
                <c:pt idx="7">
                  <c:v>Truro, Royal Cornwall Hospital </c:v>
                </c:pt>
                <c:pt idx="8">
                  <c:v>Hywel Dda UHB, Withybush Hospital</c:v>
                </c:pt>
                <c:pt idx="9">
                  <c:v>Bath, Royal United Hospital </c:v>
                </c:pt>
                <c:pt idx="10">
                  <c:v>Cwm Taf Morgannwg UHB, Prince Charles Hospital</c:v>
                </c:pt>
                <c:pt idx="11">
                  <c:v>Swansea Bay UHB, Morriston / Singleton Hospitals</c:v>
                </c:pt>
                <c:pt idx="12">
                  <c:v>Taunton, Musgrove Park Hospital 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Q2'!$D$36:$D$53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8</c:v>
                </c:pt>
                <c:pt idx="11">
                  <c:v>2</c:v>
                </c:pt>
                <c:pt idx="12">
                  <c:v>0</c:v>
                </c:pt>
                <c:pt idx="13">
                  <c:v>32</c:v>
                </c:pt>
                <c:pt idx="14">
                  <c:v>64</c:v>
                </c:pt>
                <c:pt idx="15">
                  <c:v>60</c:v>
                </c:pt>
                <c:pt idx="16">
                  <c:v>280</c:v>
                </c:pt>
                <c:pt idx="17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Q2'!$E$35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Barnstaple, North Devon District Hospital </c:v>
                </c:pt>
                <c:pt idx="1">
                  <c:v>Gloucester, Gloucestershire Hospitals</c:v>
                </c:pt>
                <c:pt idx="2">
                  <c:v>Plymouth, Derriford Hospital </c:v>
                </c:pt>
                <c:pt idx="3">
                  <c:v>Cwm Taf Morgannwg UHB, Princess of Wales Hospital</c:v>
                </c:pt>
                <c:pt idx="4">
                  <c:v>Cwm Taf Morgannwg UHB, Royal Glamorgan Hospital </c:v>
                </c:pt>
                <c:pt idx="5">
                  <c:v>Hywel Dda UHB, Glangwilli Hospital</c:v>
                </c:pt>
                <c:pt idx="6">
                  <c:v>Swindon, Great Weston Hospital </c:v>
                </c:pt>
                <c:pt idx="7">
                  <c:v>Truro, Royal Cornwall Hospital </c:v>
                </c:pt>
                <c:pt idx="8">
                  <c:v>Hywel Dda UHB, Withybush Hospital</c:v>
                </c:pt>
                <c:pt idx="9">
                  <c:v>Bath, Royal United Hospital </c:v>
                </c:pt>
                <c:pt idx="10">
                  <c:v>Cwm Taf Morgannwg UHB, Prince Charles Hospital</c:v>
                </c:pt>
                <c:pt idx="11">
                  <c:v>Swansea Bay UHB, Morriston / Singleton Hospitals</c:v>
                </c:pt>
                <c:pt idx="12">
                  <c:v>Taunton, Musgrove Park Hospital 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Q2'!$E$36:$E$53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6</c:v>
                </c:pt>
                <c:pt idx="15">
                  <c:v>55</c:v>
                </c:pt>
                <c:pt idx="16">
                  <c:v>155</c:v>
                </c:pt>
                <c:pt idx="17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1607424"/>
        <c:axId val="241608960"/>
      </c:barChart>
      <c:catAx>
        <c:axId val="241607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608960"/>
        <c:crosses val="autoZero"/>
        <c:auto val="1"/>
        <c:lblAlgn val="ctr"/>
        <c:lblOffset val="100"/>
        <c:noMultiLvlLbl val="0"/>
      </c:catAx>
      <c:valAx>
        <c:axId val="241608960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1607424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Barnstaple, North Devon District Hospital </c:v>
                </c:pt>
                <c:pt idx="1">
                  <c:v>Gloucester, Gloucestershire Hospitals</c:v>
                </c:pt>
                <c:pt idx="2">
                  <c:v>Plymouth, Derriford Hospital </c:v>
                </c:pt>
                <c:pt idx="3">
                  <c:v>Cardiff &amp; Vale UHB, Noah’s Ark / University Hospital Wales</c:v>
                </c:pt>
                <c:pt idx="4">
                  <c:v>Bath, Royal United Hospital </c:v>
                </c:pt>
                <c:pt idx="5">
                  <c:v>Bristol Royal Hospital for Children</c:v>
                </c:pt>
                <c:pt idx="6">
                  <c:v>Cwm Taf Morgannwg UHB, Prince Charles Hospital</c:v>
                </c:pt>
                <c:pt idx="7">
                  <c:v>Cwm Taf Morgannwg UHB, Royal Glamorgan Hospital </c:v>
                </c:pt>
                <c:pt idx="8">
                  <c:v>Truro, Royal Cornwall Hospital </c:v>
                </c:pt>
                <c:pt idx="9">
                  <c:v>Hywel Dda UHB, Withybush Hospital</c:v>
                </c:pt>
                <c:pt idx="10">
                  <c:v>Swindon, Great Weston Hospital </c:v>
                </c:pt>
                <c:pt idx="11">
                  <c:v>Hywel Dda UHB, Glangwilli Hospital</c:v>
                </c:pt>
                <c:pt idx="12">
                  <c:v>Taunton, Musgrove Park Hospital </c:v>
                </c:pt>
                <c:pt idx="13">
                  <c:v>Swansea Bay UHB, Morriston / Singleton Hospitals</c:v>
                </c:pt>
                <c:pt idx="14">
                  <c:v>Exeter, Royal Devon and Exeter Hospital </c:v>
                </c:pt>
                <c:pt idx="15">
                  <c:v>Torquay, Torbay General District Hospital </c:v>
                </c:pt>
                <c:pt idx="16">
                  <c:v>Cwm Taf Morgannwg UHB, Princess of Wales Hospital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Q2'!$C$58:$C$75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18</c:v>
                </c:pt>
                <c:pt idx="10">
                  <c:v>36</c:v>
                </c:pt>
                <c:pt idx="11">
                  <c:v>13</c:v>
                </c:pt>
                <c:pt idx="12">
                  <c:v>42</c:v>
                </c:pt>
                <c:pt idx="13">
                  <c:v>39</c:v>
                </c:pt>
                <c:pt idx="14">
                  <c:v>26</c:v>
                </c:pt>
                <c:pt idx="15">
                  <c:v>31</c:v>
                </c:pt>
                <c:pt idx="16">
                  <c:v>49</c:v>
                </c:pt>
                <c:pt idx="1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Q2'!$D$57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Barnstaple, North Devon District Hospital </c:v>
                </c:pt>
                <c:pt idx="1">
                  <c:v>Gloucester, Gloucestershire Hospitals</c:v>
                </c:pt>
                <c:pt idx="2">
                  <c:v>Plymouth, Derriford Hospital </c:v>
                </c:pt>
                <c:pt idx="3">
                  <c:v>Cardiff &amp; Vale UHB, Noah’s Ark / University Hospital Wales</c:v>
                </c:pt>
                <c:pt idx="4">
                  <c:v>Bath, Royal United Hospital </c:v>
                </c:pt>
                <c:pt idx="5">
                  <c:v>Bristol Royal Hospital for Children</c:v>
                </c:pt>
                <c:pt idx="6">
                  <c:v>Cwm Taf Morgannwg UHB, Prince Charles Hospital</c:v>
                </c:pt>
                <c:pt idx="7">
                  <c:v>Cwm Taf Morgannwg UHB, Royal Glamorgan Hospital </c:v>
                </c:pt>
                <c:pt idx="8">
                  <c:v>Truro, Royal Cornwall Hospital </c:v>
                </c:pt>
                <c:pt idx="9">
                  <c:v>Hywel Dda UHB, Withybush Hospital</c:v>
                </c:pt>
                <c:pt idx="10">
                  <c:v>Swindon, Great Weston Hospital </c:v>
                </c:pt>
                <c:pt idx="11">
                  <c:v>Hywel Dda UHB, Glangwilli Hospital</c:v>
                </c:pt>
                <c:pt idx="12">
                  <c:v>Taunton, Musgrove Park Hospital </c:v>
                </c:pt>
                <c:pt idx="13">
                  <c:v>Swansea Bay UHB, Morriston / Singleton Hospitals</c:v>
                </c:pt>
                <c:pt idx="14">
                  <c:v>Exeter, Royal Devon and Exeter Hospital </c:v>
                </c:pt>
                <c:pt idx="15">
                  <c:v>Torquay, Torbay General District Hospital </c:v>
                </c:pt>
                <c:pt idx="16">
                  <c:v>Cwm Taf Morgannwg UHB, Princess of Wales Hospital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Q2'!$D$58:$D$75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0</c:v>
                </c:pt>
                <c:pt idx="11">
                  <c:v>30</c:v>
                </c:pt>
                <c:pt idx="12">
                  <c:v>3</c:v>
                </c:pt>
                <c:pt idx="13">
                  <c:v>48</c:v>
                </c:pt>
                <c:pt idx="14">
                  <c:v>48</c:v>
                </c:pt>
                <c:pt idx="15">
                  <c:v>53</c:v>
                </c:pt>
                <c:pt idx="16">
                  <c:v>111</c:v>
                </c:pt>
                <c:pt idx="17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Q2'!$E$57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Barnstaple, North Devon District Hospital </c:v>
                </c:pt>
                <c:pt idx="1">
                  <c:v>Gloucester, Gloucestershire Hospitals</c:v>
                </c:pt>
                <c:pt idx="2">
                  <c:v>Plymouth, Derriford Hospital </c:v>
                </c:pt>
                <c:pt idx="3">
                  <c:v>Cardiff &amp; Vale UHB, Noah’s Ark / University Hospital Wales</c:v>
                </c:pt>
                <c:pt idx="4">
                  <c:v>Bath, Royal United Hospital </c:v>
                </c:pt>
                <c:pt idx="5">
                  <c:v>Bristol Royal Hospital for Children</c:v>
                </c:pt>
                <c:pt idx="6">
                  <c:v>Cwm Taf Morgannwg UHB, Prince Charles Hospital</c:v>
                </c:pt>
                <c:pt idx="7">
                  <c:v>Cwm Taf Morgannwg UHB, Royal Glamorgan Hospital </c:v>
                </c:pt>
                <c:pt idx="8">
                  <c:v>Truro, Royal Cornwall Hospital </c:v>
                </c:pt>
                <c:pt idx="9">
                  <c:v>Hywel Dda UHB, Withybush Hospital</c:v>
                </c:pt>
                <c:pt idx="10">
                  <c:v>Swindon, Great Weston Hospital </c:v>
                </c:pt>
                <c:pt idx="11">
                  <c:v>Hywel Dda UHB, Glangwilli Hospital</c:v>
                </c:pt>
                <c:pt idx="12">
                  <c:v>Taunton, Musgrove Park Hospital </c:v>
                </c:pt>
                <c:pt idx="13">
                  <c:v>Swansea Bay UHB, Morriston / Singleton Hospitals</c:v>
                </c:pt>
                <c:pt idx="14">
                  <c:v>Exeter, Royal Devon and Exeter Hospital </c:v>
                </c:pt>
                <c:pt idx="15">
                  <c:v>Torquay, Torbay General District Hospital </c:v>
                </c:pt>
                <c:pt idx="16">
                  <c:v>Cwm Taf Morgannwg UHB, Princess of Wales Hospital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Q2'!$E$58:$E$75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18</c:v>
                </c:pt>
                <c:pt idx="15">
                  <c:v>42</c:v>
                </c:pt>
                <c:pt idx="16">
                  <c:v>28</c:v>
                </c:pt>
                <c:pt idx="17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1674496"/>
        <c:axId val="241688576"/>
      </c:barChart>
      <c:catAx>
        <c:axId val="241674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688576"/>
        <c:crosses val="autoZero"/>
        <c:auto val="1"/>
        <c:lblAlgn val="ctr"/>
        <c:lblOffset val="100"/>
        <c:noMultiLvlLbl val="0"/>
      </c:catAx>
      <c:valAx>
        <c:axId val="24168857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4167449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Q2'!$B$81:$B$98</c:f>
              <c:strCache>
                <c:ptCount val="18"/>
                <c:pt idx="0">
                  <c:v>Barnstaple, North Devon District Hospital </c:v>
                </c:pt>
                <c:pt idx="1">
                  <c:v>Gloucester, Gloucestershire Hospitals</c:v>
                </c:pt>
                <c:pt idx="2">
                  <c:v>Plymouth, Derriford Hospital 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Bath, Royal United Hospital </c:v>
                </c:pt>
                <c:pt idx="8">
                  <c:v>Swansea Bay UHB, Morriston / Singleton Hospitals</c:v>
                </c:pt>
                <c:pt idx="9">
                  <c:v>Cardiff &amp; Vale UHB, Noah’s Ark / University Hospital Wales</c:v>
                </c:pt>
                <c:pt idx="10">
                  <c:v>Exeter, Royal Devon and Exeter Hospital </c:v>
                </c:pt>
                <c:pt idx="11">
                  <c:v>Taunton, Musgrove Park Hospital </c:v>
                </c:pt>
                <c:pt idx="12">
                  <c:v>Bristol Royal Hospital for Children</c:v>
                </c:pt>
                <c:pt idx="13">
                  <c:v>Truro, Royal Cornwall Hospital </c:v>
                </c:pt>
                <c:pt idx="14">
                  <c:v>Cwm Taf Morgannwg UHB, Princess of Wales Hospital</c:v>
                </c:pt>
                <c:pt idx="15">
                  <c:v>Aneurin Bevan UHB, Nevill Hall &amp; Royal Gwent Hospitals</c:v>
                </c:pt>
                <c:pt idx="16">
                  <c:v>Cwm Taf Morgannwg UHB, Prince Charles Hospital</c:v>
                </c:pt>
                <c:pt idx="17">
                  <c:v>Cwm Taf Morgannwg UHB, Royal Glamorgan Hospital </c:v>
                </c:pt>
              </c:strCache>
            </c:strRef>
          </c:cat>
          <c:val>
            <c:numRef>
              <c:f>'Graph data Q2'!$C$81:$C$98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0.05</c:v>
                </c:pt>
                <c:pt idx="8">
                  <c:v>0.06</c:v>
                </c:pt>
                <c:pt idx="9">
                  <c:v>7.0000000000000007E-2</c:v>
                </c:pt>
                <c:pt idx="10">
                  <c:v>0.08</c:v>
                </c:pt>
                <c:pt idx="11">
                  <c:v>0.08</c:v>
                </c:pt>
                <c:pt idx="12">
                  <c:v>0.09</c:v>
                </c:pt>
                <c:pt idx="13">
                  <c:v>0.1</c:v>
                </c:pt>
                <c:pt idx="14">
                  <c:v>0.12</c:v>
                </c:pt>
                <c:pt idx="15">
                  <c:v>0.13</c:v>
                </c:pt>
                <c:pt idx="16">
                  <c:v>0.21</c:v>
                </c:pt>
                <c:pt idx="17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1787648"/>
        <c:axId val="241789184"/>
      </c:barChart>
      <c:catAx>
        <c:axId val="241787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789184"/>
        <c:crosses val="autoZero"/>
        <c:auto val="1"/>
        <c:lblAlgn val="ctr"/>
        <c:lblOffset val="100"/>
        <c:noMultiLvlLbl val="0"/>
      </c:catAx>
      <c:valAx>
        <c:axId val="24178918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1787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Q1'!$B$10:$B$27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Cwm Taf Morgannwg UHB, Princess of Wales Hospital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Gloucester, Gloucestershire Hospitals</c:v>
                </c:pt>
                <c:pt idx="8">
                  <c:v>Aneurin Bevan UHB, Nevill Hall &amp; Royal Gwent Hospitals</c:v>
                </c:pt>
                <c:pt idx="9">
                  <c:v>Cardiff &amp; Vale UHB, Noah’s Ark / University Hospital Wales</c:v>
                </c:pt>
                <c:pt idx="10">
                  <c:v>Cwm Taf Morgannwg UHB, Royal Glamorgan Hospital </c:v>
                </c:pt>
                <c:pt idx="11">
                  <c:v>Hywel Dda UHB, Withybush Hospital</c:v>
                </c:pt>
                <c:pt idx="12">
                  <c:v>Exeter, Royal Devon and Exeter Hospital </c:v>
                </c:pt>
                <c:pt idx="13">
                  <c:v>Cwm Taf Morgannwg UHB, Prince Charles Hospital</c:v>
                </c:pt>
                <c:pt idx="14">
                  <c:v>Swansea Bay UHB, Morriston / Singleton Hospitals</c:v>
                </c:pt>
                <c:pt idx="15">
                  <c:v>Bath, Royal United Hospital </c:v>
                </c:pt>
                <c:pt idx="16">
                  <c:v>Taunton, Musgrove Park Hospital </c:v>
                </c:pt>
                <c:pt idx="17">
                  <c:v> Bristol Royal Hospital for Children</c:v>
                </c:pt>
              </c:strCache>
            </c:strRef>
          </c:cat>
          <c:val>
            <c:numRef>
              <c:f>'Graph data Q1'!$C$10:$C$27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10.9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11</c:v>
                </c:pt>
                <c:pt idx="12">
                  <c:v>15</c:v>
                </c:pt>
                <c:pt idx="13">
                  <c:v>16</c:v>
                </c:pt>
                <c:pt idx="14">
                  <c:v>8.48</c:v>
                </c:pt>
                <c:pt idx="15">
                  <c:v>28</c:v>
                </c:pt>
                <c:pt idx="16">
                  <c:v>44</c:v>
                </c:pt>
                <c:pt idx="17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Q1'!$D$9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Q1'!$B$10:$B$27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Cwm Taf Morgannwg UHB, Princess of Wales Hospital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Gloucester, Gloucestershire Hospitals</c:v>
                </c:pt>
                <c:pt idx="8">
                  <c:v>Aneurin Bevan UHB, Nevill Hall &amp; Royal Gwent Hospitals</c:v>
                </c:pt>
                <c:pt idx="9">
                  <c:v>Cardiff &amp; Vale UHB, Noah’s Ark / University Hospital Wales</c:v>
                </c:pt>
                <c:pt idx="10">
                  <c:v>Cwm Taf Morgannwg UHB, Royal Glamorgan Hospital </c:v>
                </c:pt>
                <c:pt idx="11">
                  <c:v>Hywel Dda UHB, Withybush Hospital</c:v>
                </c:pt>
                <c:pt idx="12">
                  <c:v>Exeter, Royal Devon and Exeter Hospital </c:v>
                </c:pt>
                <c:pt idx="13">
                  <c:v>Cwm Taf Morgannwg UHB, Prince Charles Hospital</c:v>
                </c:pt>
                <c:pt idx="14">
                  <c:v>Swansea Bay UHB, Morriston / Singleton Hospitals</c:v>
                </c:pt>
                <c:pt idx="15">
                  <c:v>Bath, Royal United Hospital </c:v>
                </c:pt>
                <c:pt idx="16">
                  <c:v>Taunton, Musgrove Park Hospital </c:v>
                </c:pt>
                <c:pt idx="17">
                  <c:v> Bristol Royal Hospital for Children</c:v>
                </c:pt>
              </c:strCache>
            </c:strRef>
          </c:cat>
          <c:val>
            <c:numRef>
              <c:f>'Graph data Q1'!$D$10:$D$27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5.4</c:v>
                </c:pt>
                <c:pt idx="8">
                  <c:v>13</c:v>
                </c:pt>
                <c:pt idx="9">
                  <c:v>0</c:v>
                </c:pt>
                <c:pt idx="10">
                  <c:v>0</c:v>
                </c:pt>
                <c:pt idx="11">
                  <c:v>15</c:v>
                </c:pt>
                <c:pt idx="12">
                  <c:v>8</c:v>
                </c:pt>
                <c:pt idx="13">
                  <c:v>15</c:v>
                </c:pt>
                <c:pt idx="14">
                  <c:v>26.67</c:v>
                </c:pt>
                <c:pt idx="15">
                  <c:v>8</c:v>
                </c:pt>
                <c:pt idx="16">
                  <c:v>44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7930752"/>
        <c:axId val="237944832"/>
      </c:barChart>
      <c:catAx>
        <c:axId val="237930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7944832"/>
        <c:crosses val="autoZero"/>
        <c:auto val="1"/>
        <c:lblAlgn val="ctr"/>
        <c:lblOffset val="100"/>
        <c:noMultiLvlLbl val="0"/>
      </c:catAx>
      <c:valAx>
        <c:axId val="23794483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793075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Q2'!$F$81:$F$98</c:f>
              <c:strCache>
                <c:ptCount val="18"/>
                <c:pt idx="0">
                  <c:v>Barnstaple, North Devon District Hospital </c:v>
                </c:pt>
                <c:pt idx="1">
                  <c:v>Gloucester, Gloucestershire Hospitals</c:v>
                </c:pt>
                <c:pt idx="2">
                  <c:v>Plymouth, Derriford Hospital </c:v>
                </c:pt>
                <c:pt idx="3">
                  <c:v>Cardiff &amp; Vale UHB, Noah’s Ark / University Hospital Wales</c:v>
                </c:pt>
                <c:pt idx="4">
                  <c:v>Hywel Dda UHB, Glangwilli Hospital</c:v>
                </c:pt>
                <c:pt idx="5">
                  <c:v>Hywel Dda UHB, Withybush Hospital</c:v>
                </c:pt>
                <c:pt idx="6">
                  <c:v>Swansea Bay UHB, Morriston / Singleton Hospitals</c:v>
                </c:pt>
                <c:pt idx="7">
                  <c:v>Bristol Royal Hospital for Children</c:v>
                </c:pt>
                <c:pt idx="8">
                  <c:v>Swindon, Great Weston Hospital </c:v>
                </c:pt>
                <c:pt idx="9">
                  <c:v>Torquay, Torbay General District Hospital </c:v>
                </c:pt>
                <c:pt idx="10">
                  <c:v>Cwm Taf Morgannwg UHB, Princess of Wales Hospital</c:v>
                </c:pt>
                <c:pt idx="11">
                  <c:v>Bath, Royal United Hospital </c:v>
                </c:pt>
                <c:pt idx="12">
                  <c:v>Exeter, Royal Devon and Exeter Hospital </c:v>
                </c:pt>
                <c:pt idx="13">
                  <c:v>Taunton, Musgrove Park Hospital </c:v>
                </c:pt>
                <c:pt idx="14">
                  <c:v>Truro, Royal Cornwall Hospital </c:v>
                </c:pt>
                <c:pt idx="15">
                  <c:v>Aneurin Bevan UHB, Nevill Hall &amp; Royal Gwent Hospitals</c:v>
                </c:pt>
                <c:pt idx="16">
                  <c:v>Cwm Taf Morgannwg UHB, Prince Charles Hospital</c:v>
                </c:pt>
                <c:pt idx="17">
                  <c:v>Cwm Taf Morgannwg UHB, Royal Glamorgan Hospital </c:v>
                </c:pt>
              </c:strCache>
            </c:strRef>
          </c:cat>
          <c:val>
            <c:numRef>
              <c:f>'Graph data Q2'!$G$81:$G$98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7.0000000000000007E-2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0.23</c:v>
                </c:pt>
                <c:pt idx="17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096768"/>
        <c:axId val="242110848"/>
      </c:barChart>
      <c:catAx>
        <c:axId val="242096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110848"/>
        <c:crosses val="autoZero"/>
        <c:auto val="1"/>
        <c:lblAlgn val="ctr"/>
        <c:lblOffset val="100"/>
        <c:noMultiLvlLbl val="0"/>
      </c:catAx>
      <c:valAx>
        <c:axId val="24211084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0967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Q2'!$J$81:$J$97</c:f>
              <c:strCache>
                <c:ptCount val="17"/>
                <c:pt idx="0">
                  <c:v>Hywel Dda UHB, Glangwilli Hospital</c:v>
                </c:pt>
                <c:pt idx="1">
                  <c:v>Exeter, Royal Devon and Exeter Hospital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Aneurin Bevan UHB, Nevill Hall &amp; Royal Gwent Hospitals</c:v>
                </c:pt>
                <c:pt idx="5">
                  <c:v>Cwm Taf Morgannwg UHB, Princess of Wales Hospital</c:v>
                </c:pt>
                <c:pt idx="6">
                  <c:v>Cwm Taf Morgannwg UHB, Prince Charles Hospital</c:v>
                </c:pt>
                <c:pt idx="7">
                  <c:v>Hywel Dda UHB, Withybush Hospital</c:v>
                </c:pt>
                <c:pt idx="8">
                  <c:v>Swansea Bay UHB, Morriston / Singleton Hospitals</c:v>
                </c:pt>
                <c:pt idx="9">
                  <c:v>Barnstaple, North Devon District Hospital </c:v>
                </c:pt>
                <c:pt idx="10">
                  <c:v>Gloucester, Gloucestershire Hospitals</c:v>
                </c:pt>
                <c:pt idx="11">
                  <c:v>Taunton, Musgrove Park Hospital </c:v>
                </c:pt>
                <c:pt idx="12">
                  <c:v>Plymouth, Derriford Hospital </c:v>
                </c:pt>
                <c:pt idx="13">
                  <c:v>Torquay, Torbay General District Hospital </c:v>
                </c:pt>
                <c:pt idx="14">
                  <c:v>Cwm Taf Morgannwg UHB, Royal Glamorgan Hospital </c:v>
                </c:pt>
                <c:pt idx="15">
                  <c:v>Cardiff &amp; Vale UHB, Noah’s Ark / University Hospital Wales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Q2'!$K$81:$K$97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0.04</c:v>
                </c:pt>
                <c:pt idx="13">
                  <c:v>0.04</c:v>
                </c:pt>
                <c:pt idx="14">
                  <c:v>0.13</c:v>
                </c:pt>
                <c:pt idx="15">
                  <c:v>0.15</c:v>
                </c:pt>
                <c:pt idx="16">
                  <c:v>0.23100000000000001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139520"/>
        <c:axId val="242141056"/>
      </c:barChart>
      <c:catAx>
        <c:axId val="242139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141056"/>
        <c:crosses val="autoZero"/>
        <c:auto val="1"/>
        <c:lblAlgn val="ctr"/>
        <c:lblOffset val="100"/>
        <c:noMultiLvlLbl val="0"/>
      </c:catAx>
      <c:valAx>
        <c:axId val="24214105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139520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Q2'!$N$81:$N$97</c:f>
              <c:strCache>
                <c:ptCount val="17"/>
                <c:pt idx="0">
                  <c:v>Hywel Dda UHB, Glangwilli Hospital</c:v>
                </c:pt>
                <c:pt idx="1">
                  <c:v>Exeter, Royal Devon and Exeter Hospital </c:v>
                </c:pt>
                <c:pt idx="2">
                  <c:v>Swindon, Great Weston Hospital </c:v>
                </c:pt>
                <c:pt idx="3">
                  <c:v>Truro, Royal Cornwall Hospital </c:v>
                </c:pt>
                <c:pt idx="4">
                  <c:v>Bristol, Bristol Heart Institute</c:v>
                </c:pt>
                <c:pt idx="5">
                  <c:v>Aneurin Bevan UHB, Nevill Hall &amp; Royal Gwent Hospitals</c:v>
                </c:pt>
                <c:pt idx="6">
                  <c:v>Cardiff &amp; Vale UHB, Noah’s Ark / University Hospital Wales</c:v>
                </c:pt>
                <c:pt idx="7">
                  <c:v>Cwm Taf Morgannwg UHB, Princess of Wales Hospital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Hywel Dda UHB, Withybush Hospital</c:v>
                </c:pt>
                <c:pt idx="11">
                  <c:v>Swansea Bay UHB, Morriston / Singleton Hospitals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Plymouth, Derriford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</c:strCache>
            </c:strRef>
          </c:cat>
          <c:val>
            <c:numRef>
              <c:f>'Graph data Q2'!$O$81:$O$97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1894528"/>
        <c:axId val="241926144"/>
      </c:barChart>
      <c:catAx>
        <c:axId val="241894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926144"/>
        <c:crosses val="autoZero"/>
        <c:auto val="1"/>
        <c:lblAlgn val="ctr"/>
        <c:lblOffset val="100"/>
        <c:noMultiLvlLbl val="0"/>
      </c:catAx>
      <c:valAx>
        <c:axId val="24192614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18945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  <c:pt idx="2">
                  <c:v>0.23</c:v>
                </c:pt>
                <c:pt idx="3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5A-43AD-A80D-923194EC8212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Q2'!$F$104:$M$104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5A-43AD-A80D-923194EC8212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Q2'!$F$105:$M$105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5A-43AD-A80D-923194EC8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1952256"/>
        <c:axId val="241953792"/>
      </c:stockChart>
      <c:catAx>
        <c:axId val="241952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1953792"/>
        <c:crosses val="autoZero"/>
        <c:auto val="1"/>
        <c:lblAlgn val="ctr"/>
        <c:lblOffset val="100"/>
        <c:noMultiLvlLbl val="0"/>
      </c:catAx>
      <c:valAx>
        <c:axId val="2419537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1952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Q2'!$E$109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  <c:pt idx="2">
                  <c:v>0.22</c:v>
                </c:pt>
                <c:pt idx="3">
                  <c:v>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E6-408F-B082-83C2254F2632}"/>
            </c:ext>
          </c:extLst>
        </c:ser>
        <c:ser>
          <c:idx val="1"/>
          <c:order val="1"/>
          <c:tx>
            <c:strRef>
              <c:f>'Graph data Q2'!$E$110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E6-408F-B082-83C2254F2632}"/>
            </c:ext>
          </c:extLst>
        </c:ser>
        <c:ser>
          <c:idx val="2"/>
          <c:order val="2"/>
          <c:tx>
            <c:strRef>
              <c:f>'Graph data Q2'!$E$111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  <c:pt idx="2">
                  <c:v>0.08</c:v>
                </c:pt>
                <c:pt idx="3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E6-408F-B082-83C2254F2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1996544"/>
        <c:axId val="241998080"/>
      </c:stockChart>
      <c:catAx>
        <c:axId val="241996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1998080"/>
        <c:crosses val="autoZero"/>
        <c:auto val="1"/>
        <c:lblAlgn val="ctr"/>
        <c:lblOffset val="100"/>
        <c:noMultiLvlLbl val="0"/>
      </c:catAx>
      <c:valAx>
        <c:axId val="241998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1996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Q3'!$I$10:$I$26</c:f>
              <c:strCache>
                <c:ptCount val="17"/>
                <c:pt idx="0">
                  <c:v>Exeter, Royal Devon and Exeter Hospital </c:v>
                </c:pt>
                <c:pt idx="1">
                  <c:v>Swindon, Great Weston Hospital </c:v>
                </c:pt>
                <c:pt idx="2">
                  <c:v>Truro, Royal Cornwall Hospital </c:v>
                </c:pt>
                <c:pt idx="3">
                  <c:v>Aneurin Bevan UHB, Nevill Hall &amp; Royal Gwent Hospitals</c:v>
                </c:pt>
                <c:pt idx="4">
                  <c:v>Cwm Taf Morgannwg UHB, Princess of Wales Hospital</c:v>
                </c:pt>
                <c:pt idx="5">
                  <c:v>Cwm Taf Morgannwg UHB, Royal Glamorgan Hospital </c:v>
                </c:pt>
                <c:pt idx="6">
                  <c:v>Cwm Taf Morgannwg UHB, Prince Charles Hospital</c:v>
                </c:pt>
                <c:pt idx="7">
                  <c:v>Hywel Dda UHB, Glangwilli Hospital</c:v>
                </c:pt>
                <c:pt idx="8">
                  <c:v>Hywel Dda UHB, Withybush Hospital</c:v>
                </c:pt>
                <c:pt idx="9">
                  <c:v>Swansea Bay UHB, Morriston / Singleton Hospitals</c:v>
                </c:pt>
                <c:pt idx="10">
                  <c:v>Torquay, Torbay General District Hospital </c:v>
                </c:pt>
                <c:pt idx="11">
                  <c:v>Taunton, Musgrove Park Hospital </c:v>
                </c:pt>
                <c:pt idx="12">
                  <c:v>Cardiff &amp; Vale UHB, Noah’s Ark / University Hospital Wales</c:v>
                </c:pt>
                <c:pt idx="13">
                  <c:v>Gloucester, Gloucestershire Hospitals</c:v>
                </c:pt>
                <c:pt idx="14">
                  <c:v>Bristol, Bristol Heart Institute</c:v>
                </c:pt>
                <c:pt idx="15">
                  <c:v>Barnstaple, North Devon District Hospital </c:v>
                </c:pt>
                <c:pt idx="16">
                  <c:v>Plymouth, Derriford Hospital </c:v>
                </c:pt>
              </c:strCache>
            </c:strRef>
          </c:cat>
          <c:val>
            <c:numRef>
              <c:f>'Graph data Q3'!$J$10:$J$26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5</c:v>
                </c:pt>
                <c:pt idx="12">
                  <c:v>20</c:v>
                </c:pt>
                <c:pt idx="13">
                  <c:v>24</c:v>
                </c:pt>
                <c:pt idx="14">
                  <c:v>26</c:v>
                </c:pt>
                <c:pt idx="15">
                  <c:v>32</c:v>
                </c:pt>
                <c:pt idx="1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Q3'!$K$9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Q3'!$I$10:$I$26</c:f>
              <c:strCache>
                <c:ptCount val="17"/>
                <c:pt idx="0">
                  <c:v>Exeter, Royal Devon and Exeter Hospital </c:v>
                </c:pt>
                <c:pt idx="1">
                  <c:v>Swindon, Great Weston Hospital </c:v>
                </c:pt>
                <c:pt idx="2">
                  <c:v>Truro, Royal Cornwall Hospital </c:v>
                </c:pt>
                <c:pt idx="3">
                  <c:v>Aneurin Bevan UHB, Nevill Hall &amp; Royal Gwent Hospitals</c:v>
                </c:pt>
                <c:pt idx="4">
                  <c:v>Cwm Taf Morgannwg UHB, Princess of Wales Hospital</c:v>
                </c:pt>
                <c:pt idx="5">
                  <c:v>Cwm Taf Morgannwg UHB, Royal Glamorgan Hospital </c:v>
                </c:pt>
                <c:pt idx="6">
                  <c:v>Cwm Taf Morgannwg UHB, Prince Charles Hospital</c:v>
                </c:pt>
                <c:pt idx="7">
                  <c:v>Hywel Dda UHB, Glangwilli Hospital</c:v>
                </c:pt>
                <c:pt idx="8">
                  <c:v>Hywel Dda UHB, Withybush Hospital</c:v>
                </c:pt>
                <c:pt idx="9">
                  <c:v>Swansea Bay UHB, Morriston / Singleton Hospitals</c:v>
                </c:pt>
                <c:pt idx="10">
                  <c:v>Torquay, Torbay General District Hospital </c:v>
                </c:pt>
                <c:pt idx="11">
                  <c:v>Taunton, Musgrove Park Hospital </c:v>
                </c:pt>
                <c:pt idx="12">
                  <c:v>Cardiff &amp; Vale UHB, Noah’s Ark / University Hospital Wales</c:v>
                </c:pt>
                <c:pt idx="13">
                  <c:v>Gloucester, Gloucestershire Hospitals</c:v>
                </c:pt>
                <c:pt idx="14">
                  <c:v>Bristol, Bristol Heart Institute</c:v>
                </c:pt>
                <c:pt idx="15">
                  <c:v>Barnstaple, North Devon District Hospital </c:v>
                </c:pt>
                <c:pt idx="16">
                  <c:v>Plymouth, Derriford Hospital </c:v>
                </c:pt>
              </c:strCache>
            </c:strRef>
          </c:cat>
          <c:val>
            <c:numRef>
              <c:f>'Graph data Q3'!$K$10:$K$26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0</c:v>
                </c:pt>
                <c:pt idx="13">
                  <c:v>24</c:v>
                </c:pt>
                <c:pt idx="14">
                  <c:v>0</c:v>
                </c:pt>
                <c:pt idx="15">
                  <c:v>32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2610560"/>
        <c:axId val="242612096"/>
      </c:barChart>
      <c:catAx>
        <c:axId val="242610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2612096"/>
        <c:crosses val="autoZero"/>
        <c:auto val="1"/>
        <c:lblAlgn val="ctr"/>
        <c:lblOffset val="100"/>
        <c:noMultiLvlLbl val="0"/>
      </c:catAx>
      <c:valAx>
        <c:axId val="242612096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2610560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Q3'!$B$10:$B$27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Gloucester, Gloucestershire Hospitals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Cwm Taf Morgannwg UHB, Princess of Wales Hospital</c:v>
                </c:pt>
                <c:pt idx="6">
                  <c:v>Swansea Bay UHB, Morriston / Singleton Hospitals</c:v>
                </c:pt>
                <c:pt idx="7">
                  <c:v>Truro, Royal Cornwall Hospital </c:v>
                </c:pt>
                <c:pt idx="8">
                  <c:v>Exeter, Royal Devon and Exeter Hospital </c:v>
                </c:pt>
                <c:pt idx="9">
                  <c:v>Cwm Taf Morgannwg UHB, Royal Glamorgan Hospital </c:v>
                </c:pt>
                <c:pt idx="10">
                  <c:v>Cwm Taf Morgannwg UHB, Prince Charles Hospital</c:v>
                </c:pt>
                <c:pt idx="11">
                  <c:v>Plymouth, Derriford Hospital </c:v>
                </c:pt>
                <c:pt idx="12">
                  <c:v>Aneurin Bevan UHB, Nevill Hall &amp; Royal Gwent Hospitals</c:v>
                </c:pt>
                <c:pt idx="13">
                  <c:v>Hywel Dda UHB, Withybush Hospital</c:v>
                </c:pt>
                <c:pt idx="14">
                  <c:v>Cardiff &amp; Vale UHB, Noah’s Ark / University Hospital Wales</c:v>
                </c:pt>
                <c:pt idx="15">
                  <c:v>Bath, Royal United Hospital </c:v>
                </c:pt>
                <c:pt idx="16">
                  <c:v>Taunton, Musgrove Park Hospital 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Q3'!$C$10:$C$27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6</c:v>
                </c:pt>
                <c:pt idx="6">
                  <c:v>11.13</c:v>
                </c:pt>
                <c:pt idx="7">
                  <c:v>5</c:v>
                </c:pt>
                <c:pt idx="8">
                  <c:v>15</c:v>
                </c:pt>
                <c:pt idx="9">
                  <c:v>15.45</c:v>
                </c:pt>
                <c:pt idx="10">
                  <c:v>12</c:v>
                </c:pt>
                <c:pt idx="11">
                  <c:v>24</c:v>
                </c:pt>
                <c:pt idx="12">
                  <c:v>28</c:v>
                </c:pt>
                <c:pt idx="13">
                  <c:v>18</c:v>
                </c:pt>
                <c:pt idx="14">
                  <c:v>36</c:v>
                </c:pt>
                <c:pt idx="15">
                  <c:v>40</c:v>
                </c:pt>
                <c:pt idx="16">
                  <c:v>44</c:v>
                </c:pt>
                <c:pt idx="1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Q3'!$D$9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Q3'!$B$10:$B$27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Gloucester, Gloucestershire Hospitals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Cwm Taf Morgannwg UHB, Princess of Wales Hospital</c:v>
                </c:pt>
                <c:pt idx="6">
                  <c:v>Swansea Bay UHB, Morriston / Singleton Hospitals</c:v>
                </c:pt>
                <c:pt idx="7">
                  <c:v>Truro, Royal Cornwall Hospital </c:v>
                </c:pt>
                <c:pt idx="8">
                  <c:v>Exeter, Royal Devon and Exeter Hospital </c:v>
                </c:pt>
                <c:pt idx="9">
                  <c:v>Cwm Taf Morgannwg UHB, Royal Glamorgan Hospital </c:v>
                </c:pt>
                <c:pt idx="10">
                  <c:v>Cwm Taf Morgannwg UHB, Prince Charles Hospital</c:v>
                </c:pt>
                <c:pt idx="11">
                  <c:v>Plymouth, Derriford Hospital </c:v>
                </c:pt>
                <c:pt idx="12">
                  <c:v>Aneurin Bevan UHB, Nevill Hall &amp; Royal Gwent Hospitals</c:v>
                </c:pt>
                <c:pt idx="13">
                  <c:v>Hywel Dda UHB, Withybush Hospital</c:v>
                </c:pt>
                <c:pt idx="14">
                  <c:v>Cardiff &amp; Vale UHB, Noah’s Ark / University Hospital Wales</c:v>
                </c:pt>
                <c:pt idx="15">
                  <c:v>Bath, Royal United Hospital </c:v>
                </c:pt>
                <c:pt idx="16">
                  <c:v>Taunton, Musgrove Park Hospital 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Q3'!$D$10:$D$27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8</c:v>
                </c:pt>
                <c:pt idx="6">
                  <c:v>5.2</c:v>
                </c:pt>
                <c:pt idx="7">
                  <c:v>13</c:v>
                </c:pt>
                <c:pt idx="8">
                  <c:v>4</c:v>
                </c:pt>
                <c:pt idx="9">
                  <c:v>4.75</c:v>
                </c:pt>
                <c:pt idx="10">
                  <c:v>17</c:v>
                </c:pt>
                <c:pt idx="11">
                  <c:v>24</c:v>
                </c:pt>
                <c:pt idx="12">
                  <c:v>13</c:v>
                </c:pt>
                <c:pt idx="13">
                  <c:v>32</c:v>
                </c:pt>
                <c:pt idx="14">
                  <c:v>0</c:v>
                </c:pt>
                <c:pt idx="15">
                  <c:v>6</c:v>
                </c:pt>
                <c:pt idx="16">
                  <c:v>44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6946176"/>
        <c:axId val="236947712"/>
      </c:barChart>
      <c:catAx>
        <c:axId val="23694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6947712"/>
        <c:crosses val="autoZero"/>
        <c:auto val="1"/>
        <c:lblAlgn val="ctr"/>
        <c:lblOffset val="100"/>
        <c:noMultiLvlLbl val="0"/>
      </c:catAx>
      <c:valAx>
        <c:axId val="23694771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694617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Q3'!$I$36:$I$52</c:f>
              <c:strCache>
                <c:ptCount val="17"/>
                <c:pt idx="0">
                  <c:v>Exeter, Royal Devon and Exeter Hospital </c:v>
                </c:pt>
                <c:pt idx="1">
                  <c:v>Swindon, Great Weston Hospital 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Taunton, Musgrove Park Hospital </c:v>
                </c:pt>
                <c:pt idx="7">
                  <c:v>Torquay, Torbay General District Hospital </c:v>
                </c:pt>
                <c:pt idx="8">
                  <c:v>Hywel Dda UHB, Withybush Hospital</c:v>
                </c:pt>
                <c:pt idx="9">
                  <c:v>Aneurin Bevan UHB, Nevill Hall &amp; Royal Gwent Hospitals</c:v>
                </c:pt>
                <c:pt idx="10">
                  <c:v>Truro, Royal Cornwall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Cardiff &amp; Vale UHB, Noah’s Ark / University Hospital Wales</c:v>
                </c:pt>
                <c:pt idx="14">
                  <c:v>Swansea Bay UHB, Morriston / Singleton Hospitals</c:v>
                </c:pt>
                <c:pt idx="15">
                  <c:v>Plymouth, Derriford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Q3'!$J$36:$J$52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9</c:v>
                </c:pt>
                <c:pt idx="10">
                  <c:v>11</c:v>
                </c:pt>
                <c:pt idx="11">
                  <c:v>18</c:v>
                </c:pt>
                <c:pt idx="12">
                  <c:v>7</c:v>
                </c:pt>
                <c:pt idx="13">
                  <c:v>27</c:v>
                </c:pt>
                <c:pt idx="14">
                  <c:v>30</c:v>
                </c:pt>
                <c:pt idx="15">
                  <c:v>73</c:v>
                </c:pt>
                <c:pt idx="16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Q3'!$K$35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Q3'!$I$36:$I$52</c:f>
              <c:strCache>
                <c:ptCount val="17"/>
                <c:pt idx="0">
                  <c:v>Exeter, Royal Devon and Exeter Hospital </c:v>
                </c:pt>
                <c:pt idx="1">
                  <c:v>Swindon, Great Weston Hospital 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Taunton, Musgrove Park Hospital </c:v>
                </c:pt>
                <c:pt idx="7">
                  <c:v>Torquay, Torbay General District Hospital </c:v>
                </c:pt>
                <c:pt idx="8">
                  <c:v>Hywel Dda UHB, Withybush Hospital</c:v>
                </c:pt>
                <c:pt idx="9">
                  <c:v>Aneurin Bevan UHB, Nevill Hall &amp; Royal Gwent Hospitals</c:v>
                </c:pt>
                <c:pt idx="10">
                  <c:v>Truro, Royal Cornwall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Cardiff &amp; Vale UHB, Noah’s Ark / University Hospital Wales</c:v>
                </c:pt>
                <c:pt idx="14">
                  <c:v>Swansea Bay UHB, Morriston / Singleton Hospitals</c:v>
                </c:pt>
                <c:pt idx="15">
                  <c:v>Plymouth, Derriford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Q3'!$K$36:$K$52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6</c:v>
                </c:pt>
                <c:pt idx="10">
                  <c:v>23</c:v>
                </c:pt>
                <c:pt idx="11">
                  <c:v>38</c:v>
                </c:pt>
                <c:pt idx="12">
                  <c:v>21</c:v>
                </c:pt>
                <c:pt idx="13">
                  <c:v>46</c:v>
                </c:pt>
                <c:pt idx="14">
                  <c:v>35</c:v>
                </c:pt>
                <c:pt idx="15">
                  <c:v>77</c:v>
                </c:pt>
                <c:pt idx="16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Q3'!$L$35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Q3'!$I$36:$I$52</c:f>
              <c:strCache>
                <c:ptCount val="17"/>
                <c:pt idx="0">
                  <c:v>Exeter, Royal Devon and Exeter Hospital </c:v>
                </c:pt>
                <c:pt idx="1">
                  <c:v>Swindon, Great Weston Hospital 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Taunton, Musgrove Park Hospital </c:v>
                </c:pt>
                <c:pt idx="7">
                  <c:v>Torquay, Torbay General District Hospital </c:v>
                </c:pt>
                <c:pt idx="8">
                  <c:v>Hywel Dda UHB, Withybush Hospital</c:v>
                </c:pt>
                <c:pt idx="9">
                  <c:v>Aneurin Bevan UHB, Nevill Hall &amp; Royal Gwent Hospitals</c:v>
                </c:pt>
                <c:pt idx="10">
                  <c:v>Truro, Royal Cornwall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Cardiff &amp; Vale UHB, Noah’s Ark / University Hospital Wales</c:v>
                </c:pt>
                <c:pt idx="14">
                  <c:v>Swansea Bay UHB, Morriston / Singleton Hospitals</c:v>
                </c:pt>
                <c:pt idx="15">
                  <c:v>Plymouth, Derriford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Q3'!$L$36:$L$52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8</c:v>
                </c:pt>
                <c:pt idx="12">
                  <c:v>45</c:v>
                </c:pt>
                <c:pt idx="13">
                  <c:v>19</c:v>
                </c:pt>
                <c:pt idx="14">
                  <c:v>40</c:v>
                </c:pt>
                <c:pt idx="15">
                  <c:v>90</c:v>
                </c:pt>
                <c:pt idx="1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022080"/>
        <c:axId val="243040256"/>
      </c:barChart>
      <c:catAx>
        <c:axId val="243022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040256"/>
        <c:crosses val="autoZero"/>
        <c:auto val="1"/>
        <c:lblAlgn val="ctr"/>
        <c:lblOffset val="100"/>
        <c:noMultiLvlLbl val="0"/>
      </c:catAx>
      <c:valAx>
        <c:axId val="24304025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022080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Q3'!$I$58:$I$74</c:f>
              <c:strCache>
                <c:ptCount val="17"/>
                <c:pt idx="0">
                  <c:v>Exeter, Royal Devon and Exeter Hospital </c:v>
                </c:pt>
                <c:pt idx="1">
                  <c:v>Swindon, Great Weston Hospital </c:v>
                </c:pt>
                <c:pt idx="2">
                  <c:v>Cardiff &amp; Vale UHB, Noah’s Ark / University Hospital Wales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Withybush Hospital</c:v>
                </c:pt>
                <c:pt idx="6">
                  <c:v>Swansea Bay UHB, Morriston / Singleton Hospitals</c:v>
                </c:pt>
                <c:pt idx="7">
                  <c:v>Bristol, Bristol Heart Institute</c:v>
                </c:pt>
                <c:pt idx="8">
                  <c:v>Plymouth, Derriford Hospital </c:v>
                </c:pt>
                <c:pt idx="9">
                  <c:v>Taunton, Musgrove Park Hospital </c:v>
                </c:pt>
                <c:pt idx="10">
                  <c:v>Torquay, Torbay General District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Hywel Dda UHB, Glangwilli Hospital</c:v>
                </c:pt>
                <c:pt idx="14">
                  <c:v>Truro, Royal Cornwall Hospital </c:v>
                </c:pt>
                <c:pt idx="15">
                  <c:v>Cwm Taf Morgannwg UHB, Princess of Wales Hospital</c:v>
                </c:pt>
                <c:pt idx="16">
                  <c:v>Aneurin Bevan UHB, Nevill Hall &amp; Royal Gwent Hospitals</c:v>
                </c:pt>
              </c:strCache>
            </c:strRef>
          </c:cat>
          <c:val>
            <c:numRef>
              <c:f>'Graph data Q3'!$J$58:$J$74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  <c:pt idx="11">
                  <c:v>18</c:v>
                </c:pt>
                <c:pt idx="12">
                  <c:v>7</c:v>
                </c:pt>
                <c:pt idx="13">
                  <c:v>26</c:v>
                </c:pt>
                <c:pt idx="14">
                  <c:v>40</c:v>
                </c:pt>
                <c:pt idx="15">
                  <c:v>14</c:v>
                </c:pt>
                <c:pt idx="1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Q3'!$K$57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Q3'!$I$58:$I$74</c:f>
              <c:strCache>
                <c:ptCount val="17"/>
                <c:pt idx="0">
                  <c:v>Exeter, Royal Devon and Exeter Hospital </c:v>
                </c:pt>
                <c:pt idx="1">
                  <c:v>Swindon, Great Weston Hospital </c:v>
                </c:pt>
                <c:pt idx="2">
                  <c:v>Cardiff &amp; Vale UHB, Noah’s Ark / University Hospital Wales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Withybush Hospital</c:v>
                </c:pt>
                <c:pt idx="6">
                  <c:v>Swansea Bay UHB, Morriston / Singleton Hospitals</c:v>
                </c:pt>
                <c:pt idx="7">
                  <c:v>Bristol, Bristol Heart Institute</c:v>
                </c:pt>
                <c:pt idx="8">
                  <c:v>Plymouth, Derriford Hospital </c:v>
                </c:pt>
                <c:pt idx="9">
                  <c:v>Taunton, Musgrove Park Hospital </c:v>
                </c:pt>
                <c:pt idx="10">
                  <c:v>Torquay, Torbay General District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Hywel Dda UHB, Glangwilli Hospital</c:v>
                </c:pt>
                <c:pt idx="14">
                  <c:v>Truro, Royal Cornwall Hospital </c:v>
                </c:pt>
                <c:pt idx="15">
                  <c:v>Cwm Taf Morgannwg UHB, Princess of Wales Hospital</c:v>
                </c:pt>
                <c:pt idx="16">
                  <c:v>Aneurin Bevan UHB, Nevill Hall &amp; Royal Gwent Hospitals</c:v>
                </c:pt>
              </c:strCache>
            </c:strRef>
          </c:cat>
          <c:val>
            <c:numRef>
              <c:f>'Graph data Q3'!$K$58:$K$74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</c:v>
                </c:pt>
                <c:pt idx="11">
                  <c:v>38</c:v>
                </c:pt>
                <c:pt idx="12">
                  <c:v>21</c:v>
                </c:pt>
                <c:pt idx="13">
                  <c:v>22</c:v>
                </c:pt>
                <c:pt idx="14">
                  <c:v>90</c:v>
                </c:pt>
                <c:pt idx="15">
                  <c:v>41</c:v>
                </c:pt>
                <c:pt idx="1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Q3'!$L$57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Q3'!$I$58:$I$74</c:f>
              <c:strCache>
                <c:ptCount val="17"/>
                <c:pt idx="0">
                  <c:v>Exeter, Royal Devon and Exeter Hospital </c:v>
                </c:pt>
                <c:pt idx="1">
                  <c:v>Swindon, Great Weston Hospital </c:v>
                </c:pt>
                <c:pt idx="2">
                  <c:v>Cardiff &amp; Vale UHB, Noah’s Ark / University Hospital Wales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Withybush Hospital</c:v>
                </c:pt>
                <c:pt idx="6">
                  <c:v>Swansea Bay UHB, Morriston / Singleton Hospitals</c:v>
                </c:pt>
                <c:pt idx="7">
                  <c:v>Bristol, Bristol Heart Institute</c:v>
                </c:pt>
                <c:pt idx="8">
                  <c:v>Plymouth, Derriford Hospital </c:v>
                </c:pt>
                <c:pt idx="9">
                  <c:v>Taunton, Musgrove Park Hospital </c:v>
                </c:pt>
                <c:pt idx="10">
                  <c:v>Torquay, Torbay General District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Hywel Dda UHB, Glangwilli Hospital</c:v>
                </c:pt>
                <c:pt idx="14">
                  <c:v>Truro, Royal Cornwall Hospital </c:v>
                </c:pt>
                <c:pt idx="15">
                  <c:v>Cwm Taf Morgannwg UHB, Princess of Wales Hospital</c:v>
                </c:pt>
                <c:pt idx="16">
                  <c:v>Aneurin Bevan UHB, Nevill Hall &amp; Royal Gwent Hospitals</c:v>
                </c:pt>
              </c:strCache>
            </c:strRef>
          </c:cat>
          <c:val>
            <c:numRef>
              <c:f>'Graph data Q3'!$L$58:$L$74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8</c:v>
                </c:pt>
                <c:pt idx="12">
                  <c:v>45</c:v>
                </c:pt>
                <c:pt idx="13">
                  <c:v>28</c:v>
                </c:pt>
                <c:pt idx="14">
                  <c:v>5</c:v>
                </c:pt>
                <c:pt idx="15">
                  <c:v>118</c:v>
                </c:pt>
                <c:pt idx="16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077120"/>
        <c:axId val="243078656"/>
      </c:barChart>
      <c:catAx>
        <c:axId val="243077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078656"/>
        <c:crosses val="autoZero"/>
        <c:auto val="1"/>
        <c:lblAlgn val="ctr"/>
        <c:lblOffset val="100"/>
        <c:noMultiLvlLbl val="0"/>
      </c:catAx>
      <c:valAx>
        <c:axId val="24307865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077120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Cwm Taf Morgannwg UHB, Princess of Wales Hospital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Royal Glamorgan Hospital </c:v>
                </c:pt>
                <c:pt idx="6">
                  <c:v>Hywel Dda UHB, Withybush Hospital</c:v>
                </c:pt>
                <c:pt idx="7">
                  <c:v>Bath, Royal United Hospital 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Exeter, Royal Devon and Exeter Hospital </c:v>
                </c:pt>
                <c:pt idx="11">
                  <c:v>Taunton, Musgrove Park Hospital </c:v>
                </c:pt>
                <c:pt idx="12">
                  <c:v>Aneurin Bevan UHB, Nevill Hall &amp; Royal Gwent Hospitals</c:v>
                </c:pt>
                <c:pt idx="13">
                  <c:v>Torquay, Torbay General District Hospital </c:v>
                </c:pt>
                <c:pt idx="14">
                  <c:v>Gloucester, Gloucestershire Hospitals</c:v>
                </c:pt>
                <c:pt idx="15">
                  <c:v>Plymouth, Derriford Hospital </c:v>
                </c:pt>
                <c:pt idx="16">
                  <c:v>Cardiff &amp; Vale UHB, Noah’s Ark / University Hospital Wales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Q3'!$C$36:$C$53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12</c:v>
                </c:pt>
                <c:pt idx="10">
                  <c:v>55</c:v>
                </c:pt>
                <c:pt idx="11">
                  <c:v>13</c:v>
                </c:pt>
                <c:pt idx="12">
                  <c:v>20</c:v>
                </c:pt>
                <c:pt idx="13">
                  <c:v>57</c:v>
                </c:pt>
                <c:pt idx="14">
                  <c:v>32</c:v>
                </c:pt>
                <c:pt idx="15">
                  <c:v>98</c:v>
                </c:pt>
                <c:pt idx="16">
                  <c:v>117</c:v>
                </c:pt>
                <c:pt idx="17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Q3'!$D$35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Cwm Taf Morgannwg UHB, Princess of Wales Hospital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Royal Glamorgan Hospital </c:v>
                </c:pt>
                <c:pt idx="6">
                  <c:v>Hywel Dda UHB, Withybush Hospital</c:v>
                </c:pt>
                <c:pt idx="7">
                  <c:v>Bath, Royal United Hospital 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Exeter, Royal Devon and Exeter Hospital </c:v>
                </c:pt>
                <c:pt idx="11">
                  <c:v>Taunton, Musgrove Park Hospital </c:v>
                </c:pt>
                <c:pt idx="12">
                  <c:v>Aneurin Bevan UHB, Nevill Hall &amp; Royal Gwent Hospitals</c:v>
                </c:pt>
                <c:pt idx="13">
                  <c:v>Torquay, Torbay General District Hospital </c:v>
                </c:pt>
                <c:pt idx="14">
                  <c:v>Gloucester, Gloucestershire Hospitals</c:v>
                </c:pt>
                <c:pt idx="15">
                  <c:v>Plymouth, Derriford Hospital </c:v>
                </c:pt>
                <c:pt idx="16">
                  <c:v>Cardiff &amp; Vale UHB, Noah’s Ark / University Hospital Wales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Q3'!$D$36:$D$53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40</c:v>
                </c:pt>
                <c:pt idx="11">
                  <c:v>22</c:v>
                </c:pt>
                <c:pt idx="12">
                  <c:v>40</c:v>
                </c:pt>
                <c:pt idx="13">
                  <c:v>60</c:v>
                </c:pt>
                <c:pt idx="14">
                  <c:v>49</c:v>
                </c:pt>
                <c:pt idx="15">
                  <c:v>39</c:v>
                </c:pt>
                <c:pt idx="16">
                  <c:v>217</c:v>
                </c:pt>
                <c:pt idx="17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Q3'!$E$35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Cwm Taf Morgannwg UHB, Princess of Wales Hospital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Royal Glamorgan Hospital </c:v>
                </c:pt>
                <c:pt idx="6">
                  <c:v>Hywel Dda UHB, Withybush Hospital</c:v>
                </c:pt>
                <c:pt idx="7">
                  <c:v>Bath, Royal United Hospital 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Exeter, Royal Devon and Exeter Hospital </c:v>
                </c:pt>
                <c:pt idx="11">
                  <c:v>Taunton, Musgrove Park Hospital </c:v>
                </c:pt>
                <c:pt idx="12">
                  <c:v>Aneurin Bevan UHB, Nevill Hall &amp; Royal Gwent Hospitals</c:v>
                </c:pt>
                <c:pt idx="13">
                  <c:v>Torquay, Torbay General District Hospital </c:v>
                </c:pt>
                <c:pt idx="14">
                  <c:v>Gloucester, Gloucestershire Hospitals</c:v>
                </c:pt>
                <c:pt idx="15">
                  <c:v>Plymouth, Derriford Hospital </c:v>
                </c:pt>
                <c:pt idx="16">
                  <c:v>Cardiff &amp; Vale UHB, Noah’s Ark / University Hospital Wales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Q3'!$E$36:$E$53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61</c:v>
                </c:pt>
                <c:pt idx="12">
                  <c:v>42</c:v>
                </c:pt>
                <c:pt idx="13">
                  <c:v>2</c:v>
                </c:pt>
                <c:pt idx="14">
                  <c:v>57</c:v>
                </c:pt>
                <c:pt idx="15">
                  <c:v>1</c:v>
                </c:pt>
                <c:pt idx="16">
                  <c:v>229</c:v>
                </c:pt>
                <c:pt idx="17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160576"/>
        <c:axId val="243162112"/>
      </c:barChart>
      <c:catAx>
        <c:axId val="243160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162112"/>
        <c:crosses val="autoZero"/>
        <c:auto val="1"/>
        <c:lblAlgn val="ctr"/>
        <c:lblOffset val="100"/>
        <c:noMultiLvlLbl val="0"/>
      </c:catAx>
      <c:valAx>
        <c:axId val="2431621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16057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Q1'!$I$36:$I$52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Taunton, Musgrove Park Hospital </c:v>
                </c:pt>
                <c:pt idx="6">
                  <c:v>Aneurin Bevan UHB, Nevill Hall &amp; Royal Gwent Hospitals</c:v>
                </c:pt>
                <c:pt idx="7">
                  <c:v>Cwm Taf Morgannwg UHB, Princess of Wales Hospital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Hywel Dda UHB, Withybush Hospital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Barnstaple, North Devon District Hospital </c:v>
                </c:pt>
                <c:pt idx="15">
                  <c:v>Swansea Bay UHB, Morriston / Singleton Hospitals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Q1'!$J$36:$J$52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23</c:v>
                </c:pt>
                <c:pt idx="15">
                  <c:v>33</c:v>
                </c:pt>
                <c:pt idx="16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Q1'!$K$35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Q1'!$I$36:$I$52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Taunton, Musgrove Park Hospital </c:v>
                </c:pt>
                <c:pt idx="6">
                  <c:v>Aneurin Bevan UHB, Nevill Hall &amp; Royal Gwent Hospitals</c:v>
                </c:pt>
                <c:pt idx="7">
                  <c:v>Cwm Taf Morgannwg UHB, Princess of Wales Hospital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Hywel Dda UHB, Withybush Hospital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Barnstaple, North Devon District Hospital </c:v>
                </c:pt>
                <c:pt idx="15">
                  <c:v>Swansea Bay UHB, Morriston / Singleton Hospitals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Q1'!$K$36:$K$52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31</c:v>
                </c:pt>
                <c:pt idx="14">
                  <c:v>24</c:v>
                </c:pt>
                <c:pt idx="15">
                  <c:v>31</c:v>
                </c:pt>
                <c:pt idx="16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Q1'!$L$35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Q1'!$I$36:$I$52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Taunton, Musgrove Park Hospital </c:v>
                </c:pt>
                <c:pt idx="6">
                  <c:v>Aneurin Bevan UHB, Nevill Hall &amp; Royal Gwent Hospitals</c:v>
                </c:pt>
                <c:pt idx="7">
                  <c:v>Cwm Taf Morgannwg UHB, Princess of Wales Hospital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Hywel Dda UHB, Withybush Hospital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Barnstaple, North Devon District Hospital </c:v>
                </c:pt>
                <c:pt idx="15">
                  <c:v>Swansea Bay UHB, Morriston / Singleton Hospitals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Q1'!$L$36:$L$52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24</c:v>
                </c:pt>
                <c:pt idx="14">
                  <c:v>14</c:v>
                </c:pt>
                <c:pt idx="15">
                  <c:v>61</c:v>
                </c:pt>
                <c:pt idx="1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245376"/>
        <c:axId val="238246912"/>
      </c:barChart>
      <c:catAx>
        <c:axId val="238245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246912"/>
        <c:crosses val="autoZero"/>
        <c:auto val="1"/>
        <c:lblAlgn val="ctr"/>
        <c:lblOffset val="100"/>
        <c:noMultiLvlLbl val="0"/>
      </c:catAx>
      <c:valAx>
        <c:axId val="2382469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245376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Cardiff &amp; Vale UHB, Noah’s Ark / University Hospital Wales</c:v>
                </c:pt>
                <c:pt idx="3">
                  <c:v>Bath, Royal United Hospital </c:v>
                </c:pt>
                <c:pt idx="4">
                  <c:v>Bristol Royal Hospital for Children</c:v>
                </c:pt>
                <c:pt idx="5">
                  <c:v>Truro, Royal Cornwall Hospital </c:v>
                </c:pt>
                <c:pt idx="6">
                  <c:v>Cwm Taf Morgannwg UHB, Prince Charles Hospital</c:v>
                </c:pt>
                <c:pt idx="7">
                  <c:v>Swindon, Great Weston Hospital </c:v>
                </c:pt>
                <c:pt idx="8">
                  <c:v>Cwm Taf Morgannwg UHB, Royal Glamorgan Hospital </c:v>
                </c:pt>
                <c:pt idx="9">
                  <c:v>Gloucester, Gloucestershire Hospitals</c:v>
                </c:pt>
                <c:pt idx="10">
                  <c:v>Hywel Dda UHB, Withybush Hospital</c:v>
                </c:pt>
                <c:pt idx="11">
                  <c:v>Taunton, Musgrove Park Hospital </c:v>
                </c:pt>
                <c:pt idx="12">
                  <c:v>Plymouth, Derriford Hospital </c:v>
                </c:pt>
                <c:pt idx="13">
                  <c:v>Swansea Bay UHB, Morriston / Singleton Hospitals</c:v>
                </c:pt>
                <c:pt idx="14">
                  <c:v>Torquay, Torbay General District Hospital </c:v>
                </c:pt>
                <c:pt idx="15">
                  <c:v>Exeter, Royal Devon and Exeter Hospital </c:v>
                </c:pt>
                <c:pt idx="16">
                  <c:v>Aneurin Bevan UHB, Nevill Hall &amp; Royal Gwent Hospitals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Q3'!$C$58:$C$75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12</c:v>
                </c:pt>
                <c:pt idx="11">
                  <c:v>4</c:v>
                </c:pt>
                <c:pt idx="12">
                  <c:v>26</c:v>
                </c:pt>
                <c:pt idx="13">
                  <c:v>28</c:v>
                </c:pt>
                <c:pt idx="14">
                  <c:v>21</c:v>
                </c:pt>
                <c:pt idx="15">
                  <c:v>34</c:v>
                </c:pt>
                <c:pt idx="16">
                  <c:v>39</c:v>
                </c:pt>
                <c:pt idx="17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Q3'!$D$57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Cardiff &amp; Vale UHB, Noah’s Ark / University Hospital Wales</c:v>
                </c:pt>
                <c:pt idx="3">
                  <c:v>Bath, Royal United Hospital </c:v>
                </c:pt>
                <c:pt idx="4">
                  <c:v>Bristol Royal Hospital for Children</c:v>
                </c:pt>
                <c:pt idx="5">
                  <c:v>Truro, Royal Cornwall Hospital </c:v>
                </c:pt>
                <c:pt idx="6">
                  <c:v>Cwm Taf Morgannwg UHB, Prince Charles Hospital</c:v>
                </c:pt>
                <c:pt idx="7">
                  <c:v>Swindon, Great Weston Hospital </c:v>
                </c:pt>
                <c:pt idx="8">
                  <c:v>Cwm Taf Morgannwg UHB, Royal Glamorgan Hospital </c:v>
                </c:pt>
                <c:pt idx="9">
                  <c:v>Gloucester, Gloucestershire Hospitals</c:v>
                </c:pt>
                <c:pt idx="10">
                  <c:v>Hywel Dda UHB, Withybush Hospital</c:v>
                </c:pt>
                <c:pt idx="11">
                  <c:v>Taunton, Musgrove Park Hospital </c:v>
                </c:pt>
                <c:pt idx="12">
                  <c:v>Plymouth, Derriford Hospital </c:v>
                </c:pt>
                <c:pt idx="13">
                  <c:v>Swansea Bay UHB, Morriston / Singleton Hospitals</c:v>
                </c:pt>
                <c:pt idx="14">
                  <c:v>Torquay, Torbay General District Hospital </c:v>
                </c:pt>
                <c:pt idx="15">
                  <c:v>Exeter, Royal Devon and Exeter Hospital </c:v>
                </c:pt>
                <c:pt idx="16">
                  <c:v>Aneurin Bevan UHB, Nevill Hall &amp; Royal Gwent Hospitals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Q3'!$D$58:$D$75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8</c:v>
                </c:pt>
                <c:pt idx="12">
                  <c:v>14</c:v>
                </c:pt>
                <c:pt idx="13">
                  <c:v>19</c:v>
                </c:pt>
                <c:pt idx="14">
                  <c:v>34</c:v>
                </c:pt>
                <c:pt idx="15">
                  <c:v>53</c:v>
                </c:pt>
                <c:pt idx="16">
                  <c:v>89</c:v>
                </c:pt>
                <c:pt idx="17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Q3'!$E$57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Cardiff &amp; Vale UHB, Noah’s Ark / University Hospital Wales</c:v>
                </c:pt>
                <c:pt idx="3">
                  <c:v>Bath, Royal United Hospital </c:v>
                </c:pt>
                <c:pt idx="4">
                  <c:v>Bristol Royal Hospital for Children</c:v>
                </c:pt>
                <c:pt idx="5">
                  <c:v>Truro, Royal Cornwall Hospital </c:v>
                </c:pt>
                <c:pt idx="6">
                  <c:v>Cwm Taf Morgannwg UHB, Prince Charles Hospital</c:v>
                </c:pt>
                <c:pt idx="7">
                  <c:v>Swindon, Great Weston Hospital </c:v>
                </c:pt>
                <c:pt idx="8">
                  <c:v>Cwm Taf Morgannwg UHB, Royal Glamorgan Hospital </c:v>
                </c:pt>
                <c:pt idx="9">
                  <c:v>Gloucester, Gloucestershire Hospitals</c:v>
                </c:pt>
                <c:pt idx="10">
                  <c:v>Hywel Dda UHB, Withybush Hospital</c:v>
                </c:pt>
                <c:pt idx="11">
                  <c:v>Taunton, Musgrove Park Hospital </c:v>
                </c:pt>
                <c:pt idx="12">
                  <c:v>Plymouth, Derriford Hospital </c:v>
                </c:pt>
                <c:pt idx="13">
                  <c:v>Swansea Bay UHB, Morriston / Singleton Hospitals</c:v>
                </c:pt>
                <c:pt idx="14">
                  <c:v>Torquay, Torbay General District Hospital </c:v>
                </c:pt>
                <c:pt idx="15">
                  <c:v>Exeter, Royal Devon and Exeter Hospital </c:v>
                </c:pt>
                <c:pt idx="16">
                  <c:v>Aneurin Bevan UHB, Nevill Hall &amp; Royal Gwent Hospitals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Q3'!$E$58:$E$75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5</c:v>
                </c:pt>
                <c:pt idx="10">
                  <c:v>0</c:v>
                </c:pt>
                <c:pt idx="11">
                  <c:v>21</c:v>
                </c:pt>
                <c:pt idx="12">
                  <c:v>2</c:v>
                </c:pt>
                <c:pt idx="13">
                  <c:v>0</c:v>
                </c:pt>
                <c:pt idx="14">
                  <c:v>15</c:v>
                </c:pt>
                <c:pt idx="15">
                  <c:v>10</c:v>
                </c:pt>
                <c:pt idx="16">
                  <c:v>98</c:v>
                </c:pt>
                <c:pt idx="17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207168"/>
        <c:axId val="243213056"/>
      </c:barChart>
      <c:catAx>
        <c:axId val="243207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213056"/>
        <c:crosses val="autoZero"/>
        <c:auto val="1"/>
        <c:lblAlgn val="ctr"/>
        <c:lblOffset val="100"/>
        <c:noMultiLvlLbl val="0"/>
      </c:catAx>
      <c:valAx>
        <c:axId val="24321305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4320716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Q3'!$B$81:$B$98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Hywel Dda UHB, Withybush Hospital</c:v>
                </c:pt>
                <c:pt idx="3">
                  <c:v>Plymouth, Derriford Hospital </c:v>
                </c:pt>
                <c:pt idx="4">
                  <c:v>Torquay, Torbay General District Hospital </c:v>
                </c:pt>
                <c:pt idx="5">
                  <c:v>Swansea Bay UHB, Morriston / Singleton Hospitals</c:v>
                </c:pt>
                <c:pt idx="6">
                  <c:v>Exeter, Royal Devon and Exeter Hospital </c:v>
                </c:pt>
                <c:pt idx="7">
                  <c:v>Aneurin Bevan UHB, Nevill Hall &amp; Royal Gwent Hospitals</c:v>
                </c:pt>
                <c:pt idx="8">
                  <c:v> Bristol Royal Hospital for Children</c:v>
                </c:pt>
                <c:pt idx="9">
                  <c:v>Truro, Royal Cornwall Hospital </c:v>
                </c:pt>
                <c:pt idx="10">
                  <c:v>Cardiff &amp; Vale UHB, Noah’s Ark / University Hospital Wales</c:v>
                </c:pt>
                <c:pt idx="11">
                  <c:v>Bath, Royal United Hospital </c:v>
                </c:pt>
                <c:pt idx="12">
                  <c:v>Taunton, Musgrove Park Hospital </c:v>
                </c:pt>
                <c:pt idx="13">
                  <c:v>Swindon, Great Weston Hospital </c:v>
                </c:pt>
                <c:pt idx="14">
                  <c:v>Gloucester, Gloucestershire Hospitals</c:v>
                </c:pt>
                <c:pt idx="15">
                  <c:v>Cwm Taf Morgannwg UHB, Princess of Wales Hospital</c:v>
                </c:pt>
                <c:pt idx="16">
                  <c:v>Cwm Taf Morgannwg UHB, Royal Glamorgan Hospital </c:v>
                </c:pt>
                <c:pt idx="17">
                  <c:v>Cwm Taf Morgannwg UHB, Prince Charles Hospital</c:v>
                </c:pt>
              </c:strCache>
            </c:strRef>
          </c:cat>
          <c:val>
            <c:numRef>
              <c:f>'Graph data Q3'!$C$81:$C$98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0.05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0.08</c:v>
                </c:pt>
                <c:pt idx="11">
                  <c:v>0.08</c:v>
                </c:pt>
                <c:pt idx="12">
                  <c:v>0.11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0.18</c:v>
                </c:pt>
                <c:pt idx="16">
                  <c:v>0.19</c:v>
                </c:pt>
                <c:pt idx="17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3246592"/>
        <c:axId val="243248128"/>
      </c:barChart>
      <c:catAx>
        <c:axId val="243246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248128"/>
        <c:crosses val="autoZero"/>
        <c:auto val="1"/>
        <c:lblAlgn val="ctr"/>
        <c:lblOffset val="100"/>
        <c:noMultiLvlLbl val="0"/>
      </c:catAx>
      <c:valAx>
        <c:axId val="24324812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32465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Q3'!$F$81:$F$98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Cardiff &amp; Vale UHB, Noah’s Ark / University Hospital Wales</c:v>
                </c:pt>
                <c:pt idx="3">
                  <c:v>Hywel Dda UHB, Withybush Hospital</c:v>
                </c:pt>
                <c:pt idx="4">
                  <c:v>Swansea Bay UHB, Morriston / Singleton Hospitals</c:v>
                </c:pt>
                <c:pt idx="5">
                  <c:v>Bristol Royal Hospital for Children</c:v>
                </c:pt>
                <c:pt idx="6">
                  <c:v>Exeter, Royal Devon and Exeter Hospital </c:v>
                </c:pt>
                <c:pt idx="7">
                  <c:v>Plymouth, Derriford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Aneurin Bevan UHB, Nevill Hall &amp; Royal Gwent Hospitals</c:v>
                </c:pt>
                <c:pt idx="11">
                  <c:v>Cwm Taf Morgannwg UHB, Princess of Wales Hospital</c:v>
                </c:pt>
                <c:pt idx="12">
                  <c:v>Gloucester, Gloucestershire Hospitals</c:v>
                </c:pt>
                <c:pt idx="13">
                  <c:v>Bath, Royal United Hospital </c:v>
                </c:pt>
                <c:pt idx="14">
                  <c:v>Truro, Royal Cornwall Hospital </c:v>
                </c:pt>
                <c:pt idx="15">
                  <c:v>Swindon, Great Weston Hospital </c:v>
                </c:pt>
                <c:pt idx="16">
                  <c:v>Cwm Taf Morgannwg UHB, Prince Charles Hospital</c:v>
                </c:pt>
                <c:pt idx="17">
                  <c:v>Cwm Taf Morgannwg UHB, Royal Glamorgan Hospital </c:v>
                </c:pt>
              </c:strCache>
            </c:strRef>
          </c:cat>
          <c:val>
            <c:numRef>
              <c:f>'Graph data Q3'!$G$81:$G$98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0.08</c:v>
                </c:pt>
                <c:pt idx="14">
                  <c:v>0.08</c:v>
                </c:pt>
                <c:pt idx="15">
                  <c:v>0.18</c:v>
                </c:pt>
                <c:pt idx="16">
                  <c:v>0.39</c:v>
                </c:pt>
                <c:pt idx="17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3264896"/>
        <c:axId val="242771072"/>
      </c:barChart>
      <c:catAx>
        <c:axId val="243264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771072"/>
        <c:crosses val="autoZero"/>
        <c:auto val="1"/>
        <c:lblAlgn val="ctr"/>
        <c:lblOffset val="100"/>
        <c:noMultiLvlLbl val="0"/>
      </c:catAx>
      <c:valAx>
        <c:axId val="24277107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326489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Q3'!$J$81:$J$97</c:f>
              <c:strCache>
                <c:ptCount val="17"/>
                <c:pt idx="0">
                  <c:v>Exeter, Royal Devon and Exeter Hospital </c:v>
                </c:pt>
                <c:pt idx="1">
                  <c:v>Swindon, Great Weston Hospital </c:v>
                </c:pt>
                <c:pt idx="2">
                  <c:v>Truro, Royal Cornwall Hospital </c:v>
                </c:pt>
                <c:pt idx="3">
                  <c:v>Aneurin Bevan UHB, Nevill Hall &amp; Royal Gwent Hospitals</c:v>
                </c:pt>
                <c:pt idx="4">
                  <c:v>Cwm Taf Morgannwg UHB, Princess of Wales Hospital</c:v>
                </c:pt>
                <c:pt idx="5">
                  <c:v>Cwm Taf Morgannwg UHB, Prince Charles Hospital</c:v>
                </c:pt>
                <c:pt idx="6">
                  <c:v>Hywel Dda UHB, Glangwilli Hospital</c:v>
                </c:pt>
                <c:pt idx="7">
                  <c:v>Hywel Dda UHB, Withybush Hospital</c:v>
                </c:pt>
                <c:pt idx="8">
                  <c:v>Barnstaple, North Devon District Hospital </c:v>
                </c:pt>
                <c:pt idx="9">
                  <c:v>Gloucester, Gloucestershire Hospitals</c:v>
                </c:pt>
                <c:pt idx="10">
                  <c:v>Plymouth, Derriford Hospital </c:v>
                </c:pt>
                <c:pt idx="11">
                  <c:v>Cardiff &amp; Vale UHB, Noah’s Ark / University Hospital Wales</c:v>
                </c:pt>
                <c:pt idx="12">
                  <c:v>Taunton, Musgrove Park Hospital </c:v>
                </c:pt>
                <c:pt idx="13">
                  <c:v>Torquay, Torbay General District Hospital </c:v>
                </c:pt>
                <c:pt idx="14">
                  <c:v>Cwm Taf Morgannwg UHB, Royal Glamorgan Hospital </c:v>
                </c:pt>
                <c:pt idx="15">
                  <c:v>Bristol, Bristol Heart Institute</c:v>
                </c:pt>
                <c:pt idx="16">
                  <c:v>Swansea Bay UHB, Morriston / Singleton Hospitals</c:v>
                </c:pt>
              </c:strCache>
            </c:strRef>
          </c:cat>
          <c:val>
            <c:numRef>
              <c:f>'Graph data Q3'!$K$81:$K$97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0.04</c:v>
                </c:pt>
                <c:pt idx="11">
                  <c:v>0.05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0.12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816512"/>
        <c:axId val="242818048"/>
      </c:barChart>
      <c:catAx>
        <c:axId val="242816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818048"/>
        <c:crosses val="autoZero"/>
        <c:auto val="1"/>
        <c:lblAlgn val="ctr"/>
        <c:lblOffset val="100"/>
        <c:noMultiLvlLbl val="0"/>
      </c:catAx>
      <c:valAx>
        <c:axId val="24281804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816512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Q3'!$N$81:$N$97</c:f>
              <c:strCache>
                <c:ptCount val="17"/>
                <c:pt idx="0">
                  <c:v>Exeter, Royal Devon and Exeter Hospital </c:v>
                </c:pt>
                <c:pt idx="1">
                  <c:v>Swindon, Great Weston Hospital </c:v>
                </c:pt>
                <c:pt idx="2">
                  <c:v>Truro, Royal Cornwall Hospital </c:v>
                </c:pt>
                <c:pt idx="3">
                  <c:v>Aneurin Bevan UHB, Nevill Hall &amp; Royal Gwent Hospitals</c:v>
                </c:pt>
                <c:pt idx="4">
                  <c:v>Cardiff &amp; Vale UHB, Noah’s Ark / University Hospital Wales</c:v>
                </c:pt>
                <c:pt idx="5">
                  <c:v>Cwm Taf Morgannwg UHB, Princess of Wales Hospital</c:v>
                </c:pt>
                <c:pt idx="6">
                  <c:v>Cwm Taf Morgannwg UHB, Royal Glamorgan Hospital </c:v>
                </c:pt>
                <c:pt idx="7">
                  <c:v>Cwm Taf Morgannwg UHB, Prince Charles Hospital</c:v>
                </c:pt>
                <c:pt idx="8">
                  <c:v>Hywel Dda UHB, Glangwilli Hospital</c:v>
                </c:pt>
                <c:pt idx="9">
                  <c:v>Hywel Dda UHB, Withybush Hospital</c:v>
                </c:pt>
                <c:pt idx="10">
                  <c:v>Swansea Bay UHB, Morriston / Singleton Hospitals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Torquay, Torbay General District Hospital </c:v>
                </c:pt>
                <c:pt idx="15">
                  <c:v>Taunton, Musgrove Park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Q3'!$O$81:$O$97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0.08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2829568"/>
        <c:axId val="242852992"/>
      </c:barChart>
      <c:catAx>
        <c:axId val="242829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852992"/>
        <c:crosses val="autoZero"/>
        <c:auto val="1"/>
        <c:lblAlgn val="ctr"/>
        <c:lblOffset val="100"/>
        <c:noMultiLvlLbl val="0"/>
      </c:catAx>
      <c:valAx>
        <c:axId val="24285299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8295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  <c:pt idx="2">
                  <c:v>0.23</c:v>
                </c:pt>
                <c:pt idx="3">
                  <c:v>0.09</c:v>
                </c:pt>
                <c:pt idx="4">
                  <c:v>0.12</c:v>
                </c:pt>
                <c:pt idx="5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4B-4CBF-A8D9-B8C27839DC37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Q3'!$F$104:$M$104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4B-4CBF-A8D9-B8C27839DC37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Q3'!$F$105:$M$105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4B-4CBF-A8D9-B8C27839D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2891392"/>
        <c:axId val="242893184"/>
      </c:stockChart>
      <c:catAx>
        <c:axId val="24289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2893184"/>
        <c:crosses val="autoZero"/>
        <c:auto val="1"/>
        <c:lblAlgn val="ctr"/>
        <c:lblOffset val="100"/>
        <c:noMultiLvlLbl val="0"/>
      </c:catAx>
      <c:valAx>
        <c:axId val="24289318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2891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Q3'!$E$109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  <c:pt idx="2">
                  <c:v>0.22</c:v>
                </c:pt>
                <c:pt idx="3">
                  <c:v>0.37</c:v>
                </c:pt>
                <c:pt idx="4">
                  <c:v>0.19</c:v>
                </c:pt>
                <c:pt idx="5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00-49D5-AF03-3B2FBC495D45}"/>
            </c:ext>
          </c:extLst>
        </c:ser>
        <c:ser>
          <c:idx val="1"/>
          <c:order val="1"/>
          <c:tx>
            <c:strRef>
              <c:f>'Graph data Q3'!$E$110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00-49D5-AF03-3B2FBC495D45}"/>
            </c:ext>
          </c:extLst>
        </c:ser>
        <c:ser>
          <c:idx val="2"/>
          <c:order val="2"/>
          <c:tx>
            <c:strRef>
              <c:f>'Graph data Q3'!$E$111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  <c:pt idx="2">
                  <c:v>0.08</c:v>
                </c:pt>
                <c:pt idx="3">
                  <c:v>0.05</c:v>
                </c:pt>
                <c:pt idx="4">
                  <c:v>0.08</c:v>
                </c:pt>
                <c:pt idx="5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00-49D5-AF03-3B2FBC495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2919296"/>
        <c:axId val="242920832"/>
      </c:stockChart>
      <c:catAx>
        <c:axId val="242919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2920832"/>
        <c:crosses val="autoZero"/>
        <c:auto val="1"/>
        <c:lblAlgn val="ctr"/>
        <c:lblOffset val="100"/>
        <c:noMultiLvlLbl val="0"/>
      </c:catAx>
      <c:valAx>
        <c:axId val="2429208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2919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Q4'!$K$9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1513984"/>
        <c:axId val="241515520"/>
      </c:barChart>
      <c:catAx>
        <c:axId val="241513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515520"/>
        <c:crosses val="autoZero"/>
        <c:auto val="1"/>
        <c:lblAlgn val="ctr"/>
        <c:lblOffset val="100"/>
        <c:noMultiLvlLbl val="0"/>
      </c:catAx>
      <c:valAx>
        <c:axId val="241515520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1513984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Q4'!$D$9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1563520"/>
        <c:axId val="241565056"/>
      </c:barChart>
      <c:catAx>
        <c:axId val="241563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565056"/>
        <c:crosses val="autoZero"/>
        <c:auto val="1"/>
        <c:lblAlgn val="ctr"/>
        <c:lblOffset val="100"/>
        <c:noMultiLvlLbl val="0"/>
      </c:catAx>
      <c:valAx>
        <c:axId val="241565056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156352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Q4'!$K$35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Q4'!$L$35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989888"/>
        <c:axId val="244003968"/>
      </c:barChart>
      <c:catAx>
        <c:axId val="243989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003968"/>
        <c:crosses val="autoZero"/>
        <c:auto val="1"/>
        <c:lblAlgn val="ctr"/>
        <c:lblOffset val="100"/>
        <c:noMultiLvlLbl val="0"/>
      </c:catAx>
      <c:valAx>
        <c:axId val="244003968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989888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Q1'!$I$58:$I$74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Royal Glamorgan Hospital </c:v>
                </c:pt>
                <c:pt idx="6">
                  <c:v>Cwm Taf Morgannwg UHB, Prince Charles Hospital</c:v>
                </c:pt>
                <c:pt idx="7">
                  <c:v>Swansea Bay UHB, Morriston / Singleton Hospitals</c:v>
                </c:pt>
                <c:pt idx="8">
                  <c:v>Bristol, Bristol Heart Institute </c:v>
                </c:pt>
                <c:pt idx="9">
                  <c:v>Hywel Dda UHB, Withybush Hospital</c:v>
                </c:pt>
                <c:pt idx="10">
                  <c:v>Torquay, Torbay General District Hospital 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Barnstaple, North Devon District Hospital </c:v>
                </c:pt>
                <c:pt idx="14">
                  <c:v>Hywel Dda UHB, Glangwilli Hospital</c:v>
                </c:pt>
                <c:pt idx="15">
                  <c:v>Aneurin Bevan UHB, Nevill Hall &amp; Royal Gwent Hospitals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Q1'!$J$58:$J$74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13</c:v>
                </c:pt>
                <c:pt idx="12">
                  <c:v>4</c:v>
                </c:pt>
                <c:pt idx="13">
                  <c:v>23</c:v>
                </c:pt>
                <c:pt idx="14">
                  <c:v>30</c:v>
                </c:pt>
                <c:pt idx="15">
                  <c:v>28</c:v>
                </c:pt>
                <c:pt idx="1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Q1'!$K$57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Q1'!$I$58:$I$74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Royal Glamorgan Hospital </c:v>
                </c:pt>
                <c:pt idx="6">
                  <c:v>Cwm Taf Morgannwg UHB, Prince Charles Hospital</c:v>
                </c:pt>
                <c:pt idx="7">
                  <c:v>Swansea Bay UHB, Morriston / Singleton Hospitals</c:v>
                </c:pt>
                <c:pt idx="8">
                  <c:v>Bristol, Bristol Heart Institute </c:v>
                </c:pt>
                <c:pt idx="9">
                  <c:v>Hywel Dda UHB, Withybush Hospital</c:v>
                </c:pt>
                <c:pt idx="10">
                  <c:v>Torquay, Torbay General District Hospital 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Barnstaple, North Devon District Hospital </c:v>
                </c:pt>
                <c:pt idx="14">
                  <c:v>Hywel Dda UHB, Glangwilli Hospital</c:v>
                </c:pt>
                <c:pt idx="15">
                  <c:v>Aneurin Bevan UHB, Nevill Hall &amp; Royal Gwent Hospitals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Q1'!$K$58:$K$74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7</c:v>
                </c:pt>
                <c:pt idx="11">
                  <c:v>0</c:v>
                </c:pt>
                <c:pt idx="12">
                  <c:v>31</c:v>
                </c:pt>
                <c:pt idx="13">
                  <c:v>24</c:v>
                </c:pt>
                <c:pt idx="14">
                  <c:v>53</c:v>
                </c:pt>
                <c:pt idx="15">
                  <c:v>53</c:v>
                </c:pt>
                <c:pt idx="16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Q1'!$L$57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Q1'!$I$58:$I$74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Royal Glamorgan Hospital </c:v>
                </c:pt>
                <c:pt idx="6">
                  <c:v>Cwm Taf Morgannwg UHB, Prince Charles Hospital</c:v>
                </c:pt>
                <c:pt idx="7">
                  <c:v>Swansea Bay UHB, Morriston / Singleton Hospitals</c:v>
                </c:pt>
                <c:pt idx="8">
                  <c:v>Bristol, Bristol Heart Institute </c:v>
                </c:pt>
                <c:pt idx="9">
                  <c:v>Hywel Dda UHB, Withybush Hospital</c:v>
                </c:pt>
                <c:pt idx="10">
                  <c:v>Torquay, Torbay General District Hospital 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Barnstaple, North Devon District Hospital </c:v>
                </c:pt>
                <c:pt idx="14">
                  <c:v>Hywel Dda UHB, Glangwilli Hospital</c:v>
                </c:pt>
                <c:pt idx="15">
                  <c:v>Aneurin Bevan UHB, Nevill Hall &amp; Royal Gwent Hospitals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Q1'!$L$58:$L$74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24</c:v>
                </c:pt>
                <c:pt idx="13">
                  <c:v>14</c:v>
                </c:pt>
                <c:pt idx="14">
                  <c:v>53</c:v>
                </c:pt>
                <c:pt idx="15">
                  <c:v>116</c:v>
                </c:pt>
                <c:pt idx="16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058496"/>
        <c:axId val="238060288"/>
      </c:barChart>
      <c:catAx>
        <c:axId val="238058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060288"/>
        <c:crosses val="autoZero"/>
        <c:auto val="1"/>
        <c:lblAlgn val="ctr"/>
        <c:lblOffset val="100"/>
        <c:noMultiLvlLbl val="0"/>
      </c:catAx>
      <c:valAx>
        <c:axId val="238060288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058496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Q4'!$K$57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Q4'!$L$57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4036736"/>
        <c:axId val="244038272"/>
      </c:barChart>
      <c:catAx>
        <c:axId val="244036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038272"/>
        <c:crosses val="autoZero"/>
        <c:auto val="1"/>
        <c:lblAlgn val="ctr"/>
        <c:lblOffset val="100"/>
        <c:noMultiLvlLbl val="0"/>
      </c:catAx>
      <c:valAx>
        <c:axId val="24403827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4036736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Q4'!$D$35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Q4'!$E$35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776128"/>
        <c:axId val="243786112"/>
      </c:barChart>
      <c:catAx>
        <c:axId val="243776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786112"/>
        <c:crosses val="autoZero"/>
        <c:auto val="1"/>
        <c:lblAlgn val="ctr"/>
        <c:lblOffset val="100"/>
        <c:noMultiLvlLbl val="0"/>
      </c:catAx>
      <c:valAx>
        <c:axId val="2437861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7761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Q4'!$D$57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Q4'!$E$57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904896"/>
        <c:axId val="243906432"/>
      </c:barChart>
      <c:catAx>
        <c:axId val="243904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906432"/>
        <c:crosses val="autoZero"/>
        <c:auto val="1"/>
        <c:lblAlgn val="ctr"/>
        <c:lblOffset val="100"/>
        <c:noMultiLvlLbl val="0"/>
      </c:catAx>
      <c:valAx>
        <c:axId val="24390643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4390489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Q4'!$B$81:$B$98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361856"/>
        <c:axId val="244371840"/>
      </c:barChart>
      <c:catAx>
        <c:axId val="244361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371840"/>
        <c:crosses val="autoZero"/>
        <c:auto val="1"/>
        <c:lblAlgn val="ctr"/>
        <c:lblOffset val="100"/>
        <c:noMultiLvlLbl val="0"/>
      </c:catAx>
      <c:valAx>
        <c:axId val="24437184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361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Q4'!$F$81:$F$98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462336"/>
        <c:axId val="244463872"/>
      </c:barChart>
      <c:catAx>
        <c:axId val="244462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463872"/>
        <c:crosses val="autoZero"/>
        <c:auto val="1"/>
        <c:lblAlgn val="ctr"/>
        <c:lblOffset val="100"/>
        <c:noMultiLvlLbl val="0"/>
      </c:catAx>
      <c:valAx>
        <c:axId val="24446387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4623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Q4'!$J$81:$J$97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492928"/>
        <c:axId val="244498816"/>
      </c:barChart>
      <c:catAx>
        <c:axId val="244492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498816"/>
        <c:crosses val="autoZero"/>
        <c:auto val="1"/>
        <c:lblAlgn val="ctr"/>
        <c:lblOffset val="100"/>
        <c:noMultiLvlLbl val="0"/>
      </c:catAx>
      <c:valAx>
        <c:axId val="24449881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49292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Q4'!$N$81:$N$97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4387200"/>
        <c:axId val="244410624"/>
      </c:barChart>
      <c:catAx>
        <c:axId val="244387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410624"/>
        <c:crosses val="autoZero"/>
        <c:auto val="1"/>
        <c:lblAlgn val="ctr"/>
        <c:lblOffset val="100"/>
        <c:noMultiLvlLbl val="0"/>
      </c:catAx>
      <c:valAx>
        <c:axId val="24441062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3872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9E-44D5-8ECB-90FE6CCC12F0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Q4'!$F$104:$M$104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9E-44D5-8ECB-90FE6CCC12F0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Q4'!$F$105:$M$105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9E-44D5-8ECB-90FE6CCC1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5694464"/>
        <c:axId val="245696000"/>
      </c:stockChart>
      <c:catAx>
        <c:axId val="24569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5696000"/>
        <c:crosses val="autoZero"/>
        <c:auto val="1"/>
        <c:lblAlgn val="ctr"/>
        <c:lblOffset val="100"/>
        <c:noMultiLvlLbl val="0"/>
      </c:catAx>
      <c:valAx>
        <c:axId val="2456960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5694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Q4'!$E$109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9-42A2-9066-52FF8775658E}"/>
            </c:ext>
          </c:extLst>
        </c:ser>
        <c:ser>
          <c:idx val="1"/>
          <c:order val="1"/>
          <c:tx>
            <c:strRef>
              <c:f>'Graph data Q4'!$E$110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E9-42A2-9066-52FF8775658E}"/>
            </c:ext>
          </c:extLst>
        </c:ser>
        <c:ser>
          <c:idx val="2"/>
          <c:order val="2"/>
          <c:tx>
            <c:strRef>
              <c:f>'Graph data Q4'!$E$111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E9-42A2-9066-52FF87756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5730304"/>
        <c:axId val="245732096"/>
      </c:stockChart>
      <c:catAx>
        <c:axId val="24573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5732096"/>
        <c:crosses val="autoZero"/>
        <c:auto val="1"/>
        <c:lblAlgn val="ctr"/>
        <c:lblOffset val="100"/>
        <c:noMultiLvlLbl val="0"/>
      </c:catAx>
      <c:valAx>
        <c:axId val="2457320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5730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21722585881579E-2"/>
          <c:y val="2.266488276709144E-2"/>
          <c:w val="0.74736520886696389"/>
          <c:h val="0.90286286637568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data Y2D'!$G$6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Y2D'!$H$6:$K$6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2-4EC0-BBE0-2F886D2F1441}"/>
            </c:ext>
          </c:extLst>
        </c:ser>
        <c:ser>
          <c:idx val="1"/>
          <c:order val="1"/>
          <c:tx>
            <c:strRef>
              <c:f>'Graph data Y2D'!$G$7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Y2D'!$H$7:$K$7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72-4EC0-BBE0-2F886D2F1441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3372416"/>
        <c:axId val="243373952"/>
      </c:barChart>
      <c:catAx>
        <c:axId val="243372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373952"/>
        <c:crosses val="autoZero"/>
        <c:auto val="1"/>
        <c:lblAlgn val="ctr"/>
        <c:lblOffset val="100"/>
        <c:noMultiLvlLbl val="0"/>
      </c:catAx>
      <c:valAx>
        <c:axId val="2433739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33724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Cwm Taf Morgannwg UHB, Princess of Wales Hospital</c:v>
                </c:pt>
                <c:pt idx="5">
                  <c:v>Hywel Dda UHB, Withybush Hospital</c:v>
                </c:pt>
                <c:pt idx="6">
                  <c:v>Swindon, Great Weston Hospital </c:v>
                </c:pt>
                <c:pt idx="7">
                  <c:v>Cwm Taf Morgannwg UHB, Royal Glamorgan Hospital </c:v>
                </c:pt>
                <c:pt idx="8">
                  <c:v>Bath, Royal United Hospital </c:v>
                </c:pt>
                <c:pt idx="9">
                  <c:v>Cwm Taf Morgannwg UHB, Prince Charles Hospital</c:v>
                </c:pt>
                <c:pt idx="10">
                  <c:v>Swansea Bay UHB, Morriston / Singleton Hospitals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Exeter, Royal Devon and Exeter Hospital </c:v>
                </c:pt>
                <c:pt idx="14">
                  <c:v>Aneurin Bevan UHB, Nevill Hall &amp; Royal Gwent Hospitals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Q1'!$C$36:$C$53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12</c:v>
                </c:pt>
                <c:pt idx="11">
                  <c:v>14</c:v>
                </c:pt>
                <c:pt idx="12">
                  <c:v>66</c:v>
                </c:pt>
                <c:pt idx="13">
                  <c:v>50</c:v>
                </c:pt>
                <c:pt idx="14">
                  <c:v>42</c:v>
                </c:pt>
                <c:pt idx="15">
                  <c:v>43</c:v>
                </c:pt>
                <c:pt idx="16">
                  <c:v>159</c:v>
                </c:pt>
                <c:pt idx="17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Q1'!$D$35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Cwm Taf Morgannwg UHB, Princess of Wales Hospital</c:v>
                </c:pt>
                <c:pt idx="5">
                  <c:v>Hywel Dda UHB, Withybush Hospital</c:v>
                </c:pt>
                <c:pt idx="6">
                  <c:v>Swindon, Great Weston Hospital </c:v>
                </c:pt>
                <c:pt idx="7">
                  <c:v>Cwm Taf Morgannwg UHB, Royal Glamorgan Hospital </c:v>
                </c:pt>
                <c:pt idx="8">
                  <c:v>Bath, Royal United Hospital </c:v>
                </c:pt>
                <c:pt idx="9">
                  <c:v>Cwm Taf Morgannwg UHB, Prince Charles Hospital</c:v>
                </c:pt>
                <c:pt idx="10">
                  <c:v>Swansea Bay UHB, Morriston / Singleton Hospitals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Exeter, Royal Devon and Exeter Hospital </c:v>
                </c:pt>
                <c:pt idx="14">
                  <c:v>Aneurin Bevan UHB, Nevill Hall &amp; Royal Gwent Hospitals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Q1'!$D$36:$D$53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20</c:v>
                </c:pt>
                <c:pt idx="13">
                  <c:v>66</c:v>
                </c:pt>
                <c:pt idx="14">
                  <c:v>64</c:v>
                </c:pt>
                <c:pt idx="15">
                  <c:v>68</c:v>
                </c:pt>
                <c:pt idx="16">
                  <c:v>314</c:v>
                </c:pt>
                <c:pt idx="17">
                  <c:v>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Q1'!$E$35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Cwm Taf Morgannwg UHB, Princess of Wales Hospital</c:v>
                </c:pt>
                <c:pt idx="5">
                  <c:v>Hywel Dda UHB, Withybush Hospital</c:v>
                </c:pt>
                <c:pt idx="6">
                  <c:v>Swindon, Great Weston Hospital </c:v>
                </c:pt>
                <c:pt idx="7">
                  <c:v>Cwm Taf Morgannwg UHB, Royal Glamorgan Hospital </c:v>
                </c:pt>
                <c:pt idx="8">
                  <c:v>Bath, Royal United Hospital </c:v>
                </c:pt>
                <c:pt idx="9">
                  <c:v>Cwm Taf Morgannwg UHB, Prince Charles Hospital</c:v>
                </c:pt>
                <c:pt idx="10">
                  <c:v>Swansea Bay UHB, Morriston / Singleton Hospitals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Exeter, Royal Devon and Exeter Hospital </c:v>
                </c:pt>
                <c:pt idx="14">
                  <c:v>Aneurin Bevan UHB, Nevill Hall &amp; Royal Gwent Hospitals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 Royal Hospital for Children</c:v>
                </c:pt>
              </c:strCache>
            </c:strRef>
          </c:cat>
          <c:val>
            <c:numRef>
              <c:f>'Graph data Q1'!$E$36:$E$53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11</c:v>
                </c:pt>
                <c:pt idx="14">
                  <c:v>38</c:v>
                </c:pt>
                <c:pt idx="15">
                  <c:v>140</c:v>
                </c:pt>
                <c:pt idx="16">
                  <c:v>156</c:v>
                </c:pt>
                <c:pt idx="17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174976"/>
        <c:axId val="238176512"/>
      </c:barChart>
      <c:catAx>
        <c:axId val="238174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176512"/>
        <c:crosses val="autoZero"/>
        <c:auto val="1"/>
        <c:lblAlgn val="ctr"/>
        <c:lblOffset val="100"/>
        <c:noMultiLvlLbl val="0"/>
      </c:catAx>
      <c:valAx>
        <c:axId val="2381765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17497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Y2D'!$H$11:$K$11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F-4C10-9CF0-6A98D86F2F29}"/>
            </c:ext>
          </c:extLst>
        </c:ser>
        <c:ser>
          <c:idx val="1"/>
          <c:order val="1"/>
          <c:tx>
            <c:strRef>
              <c:f>'Graph data Y2D'!$G$12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Y2D'!$H$12:$K$12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FF-4C10-9CF0-6A98D86F2F29}"/>
            </c:ext>
          </c:extLst>
        </c:ser>
        <c:ser>
          <c:idx val="2"/>
          <c:order val="2"/>
          <c:tx>
            <c:strRef>
              <c:f>'Graph data Y2D'!$G$13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Y2D'!$H$13:$K$13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FF-4C10-9CF0-6A98D86F2F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5794688"/>
        <c:axId val="245796224"/>
      </c:barChart>
      <c:catAx>
        <c:axId val="245794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5796224"/>
        <c:crosses val="autoZero"/>
        <c:auto val="1"/>
        <c:lblAlgn val="ctr"/>
        <c:lblOffset val="100"/>
        <c:noMultiLvlLbl val="0"/>
      </c:catAx>
      <c:valAx>
        <c:axId val="2457962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5794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Visiting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Y2D'!$H$17:$K$17</c:f>
              <c:numCache>
                <c:formatCode>0</c:formatCode>
                <c:ptCount val="4"/>
                <c:pt idx="0">
                  <c:v>28</c:v>
                </c:pt>
                <c:pt idx="1">
                  <c:v>27</c:v>
                </c:pt>
                <c:pt idx="2">
                  <c:v>17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F-41A8-A80B-D22D32148C01}"/>
            </c:ext>
          </c:extLst>
        </c:ser>
        <c:ser>
          <c:idx val="1"/>
          <c:order val="1"/>
          <c:tx>
            <c:strRef>
              <c:f>'Graph data Y2D'!$G$18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Y2D'!$H$18:$K$18</c:f>
              <c:numCache>
                <c:formatCode>0</c:formatCode>
                <c:ptCount val="4"/>
                <c:pt idx="0">
                  <c:v>53</c:v>
                </c:pt>
                <c:pt idx="1">
                  <c:v>77</c:v>
                </c:pt>
                <c:pt idx="2">
                  <c:v>46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3F-41A8-A80B-D22D32148C01}"/>
            </c:ext>
          </c:extLst>
        </c:ser>
        <c:ser>
          <c:idx val="2"/>
          <c:order val="2"/>
          <c:tx>
            <c:strRef>
              <c:f>'Graph data Y2D'!$G$19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Y2D'!$H$19:$K$19</c:f>
              <c:numCache>
                <c:formatCode>0</c:formatCode>
                <c:ptCount val="4"/>
                <c:pt idx="0">
                  <c:v>116</c:v>
                </c:pt>
                <c:pt idx="1">
                  <c:v>108</c:v>
                </c:pt>
                <c:pt idx="2">
                  <c:v>131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3F-41A8-A80B-D22D32148C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3494272"/>
        <c:axId val="243512448"/>
      </c:barChart>
      <c:catAx>
        <c:axId val="243494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512448"/>
        <c:crosses val="autoZero"/>
        <c:auto val="1"/>
        <c:lblAlgn val="ctr"/>
        <c:lblOffset val="100"/>
        <c:noMultiLvlLbl val="0"/>
      </c:catAx>
      <c:valAx>
        <c:axId val="2435124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349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Y2D'!$G$23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Y2D'!$H$23:$K$23</c:f>
              <c:numCache>
                <c:formatCode>General</c:formatCode>
                <c:ptCount val="4"/>
                <c:pt idx="0" formatCode="0%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6-4CA2-9979-8D6CF71364C9}"/>
            </c:ext>
          </c:extLst>
        </c:ser>
        <c:ser>
          <c:idx val="1"/>
          <c:order val="1"/>
          <c:tx>
            <c:strRef>
              <c:f>'Graph data Y2D'!$G$24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Y2D'!$H$24:$K$24</c:f>
              <c:numCache>
                <c:formatCode>General</c:formatCode>
                <c:ptCount val="4"/>
                <c:pt idx="0" formatCode="0%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6-4CA2-9979-8D6CF71364C9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4075520"/>
        <c:axId val="244077312"/>
      </c:barChart>
      <c:catAx>
        <c:axId val="24407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077312"/>
        <c:crosses val="autoZero"/>
        <c:auto val="1"/>
        <c:lblAlgn val="ctr"/>
        <c:lblOffset val="100"/>
        <c:noMultiLvlLbl val="0"/>
      </c:catAx>
      <c:valAx>
        <c:axId val="24407731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440755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Y2D'!$B$6:$E$6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6-488E-B6A0-BF0F84CB1F39}"/>
            </c:ext>
          </c:extLst>
        </c:ser>
        <c:ser>
          <c:idx val="1"/>
          <c:order val="1"/>
          <c:tx>
            <c:strRef>
              <c:f>'Graph data Y2D'!$A$7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Y2D'!$B$7:$E$7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6-488E-B6A0-BF0F84CB1F3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4161920"/>
        <c:axId val="244171904"/>
      </c:barChart>
      <c:catAx>
        <c:axId val="24416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171904"/>
        <c:crosses val="autoZero"/>
        <c:auto val="1"/>
        <c:lblAlgn val="ctr"/>
        <c:lblOffset val="100"/>
        <c:noMultiLvlLbl val="0"/>
      </c:catAx>
      <c:valAx>
        <c:axId val="24417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1619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Y2D'!$A$11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Y2D'!$B$11:$E$11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A-4CD0-88D3-27AEC8049EB3}"/>
            </c:ext>
          </c:extLst>
        </c:ser>
        <c:ser>
          <c:idx val="1"/>
          <c:order val="1"/>
          <c:tx>
            <c:strRef>
              <c:f>'Graph data Y2D'!$A$12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Y2D'!$B$12:$E$12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A-4CD0-88D3-27AEC8049EB3}"/>
            </c:ext>
          </c:extLst>
        </c:ser>
        <c:ser>
          <c:idx val="2"/>
          <c:order val="2"/>
          <c:tx>
            <c:strRef>
              <c:f>'Graph data Y2D'!$A$13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Y2D'!$B$13:$E$13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A-4CD0-88D3-27AEC8049EB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6022912"/>
        <c:axId val="246024448"/>
      </c:barChart>
      <c:catAx>
        <c:axId val="24602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6024448"/>
        <c:crosses val="autoZero"/>
        <c:auto val="1"/>
        <c:lblAlgn val="ctr"/>
        <c:lblOffset val="100"/>
        <c:noMultiLvlLbl val="0"/>
      </c:catAx>
      <c:valAx>
        <c:axId val="24602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022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441405094641456"/>
          <c:y val="0.13516938131102138"/>
          <c:w val="0.83477363091959866"/>
          <c:h val="0.747216938567034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 data Y2D'!$A$17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Y2D'!$B$17:$E$17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4-4F13-A23D-5E8ECF9A0B72}"/>
            </c:ext>
          </c:extLst>
        </c:ser>
        <c:ser>
          <c:idx val="1"/>
          <c:order val="1"/>
          <c:tx>
            <c:strRef>
              <c:f>'Graph data Y2D'!$A$18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Y2D'!$B$18:$E$18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4-4F13-A23D-5E8ECF9A0B72}"/>
            </c:ext>
          </c:extLst>
        </c:ser>
        <c:ser>
          <c:idx val="2"/>
          <c:order val="2"/>
          <c:tx>
            <c:strRef>
              <c:f>'Graph data Y2D'!$A$19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Y2D'!$B$19:$E$19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84-4F13-A23D-5E8ECF9A0B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6069504"/>
        <c:axId val="246075392"/>
      </c:barChart>
      <c:catAx>
        <c:axId val="24606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6075392"/>
        <c:crosses val="autoZero"/>
        <c:auto val="1"/>
        <c:lblAlgn val="ctr"/>
        <c:lblOffset val="100"/>
        <c:noMultiLvlLbl val="0"/>
      </c:catAx>
      <c:valAx>
        <c:axId val="246075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069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Y2D'!$B$23:$E$23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5-4F64-BD18-F0FD135EEA9E}"/>
            </c:ext>
          </c:extLst>
        </c:ser>
        <c:ser>
          <c:idx val="1"/>
          <c:order val="1"/>
          <c:tx>
            <c:strRef>
              <c:f>'Graph data Y2D'!$A$24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Y2D'!$B$24:$E$24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5-4F64-BD18-F0FD135EE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913472"/>
        <c:axId val="245915008"/>
      </c:barChart>
      <c:catAx>
        <c:axId val="24591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5915008"/>
        <c:crosses val="autoZero"/>
        <c:auto val="1"/>
        <c:lblAlgn val="ctr"/>
        <c:lblOffset val="100"/>
        <c:noMultiLvlLbl val="0"/>
      </c:catAx>
      <c:valAx>
        <c:axId val="2459150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5913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Bristol Royal Hospital for Children</c:v>
                </c:pt>
                <c:pt idx="5">
                  <c:v>Cardiff &amp; Vale UHB, Noah’s Ark / University Hospital Wales</c:v>
                </c:pt>
                <c:pt idx="6">
                  <c:v>Bath, Royal United Hospital </c:v>
                </c:pt>
                <c:pt idx="7">
                  <c:v>Swindon, Great Weston Hospital </c:v>
                </c:pt>
                <c:pt idx="8">
                  <c:v>Cwm Taf Morgannwg UHB, Royal Glamorgan Hospital </c:v>
                </c:pt>
                <c:pt idx="9">
                  <c:v>Hywel Dda UHB, Withybush Hospital</c:v>
                </c:pt>
                <c:pt idx="10">
                  <c:v>Cwm Taf Morgannwg UHB, Prince Charles Hospital</c:v>
                </c:pt>
                <c:pt idx="11">
                  <c:v>Cwm Taf Morgannwg UHB, Princess of Wales Hospital</c:v>
                </c:pt>
                <c:pt idx="12">
                  <c:v>Taunton, Musgrove Park Hospital </c:v>
                </c:pt>
                <c:pt idx="13">
                  <c:v>Gloucester, Gloucestershire Hospitals</c:v>
                </c:pt>
                <c:pt idx="14">
                  <c:v>Swansea Bay UHB, Morriston / Singleton Hospitals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Q1'!$C$58:$C$75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11</c:v>
                </c:pt>
                <c:pt idx="10">
                  <c:v>8</c:v>
                </c:pt>
                <c:pt idx="11">
                  <c:v>45</c:v>
                </c:pt>
                <c:pt idx="12">
                  <c:v>28</c:v>
                </c:pt>
                <c:pt idx="13">
                  <c:v>14</c:v>
                </c:pt>
                <c:pt idx="14">
                  <c:v>70</c:v>
                </c:pt>
                <c:pt idx="15">
                  <c:v>44</c:v>
                </c:pt>
                <c:pt idx="16">
                  <c:v>30</c:v>
                </c:pt>
                <c:pt idx="17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Q1'!$D$57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Bristol Royal Hospital for Children</c:v>
                </c:pt>
                <c:pt idx="5">
                  <c:v>Cardiff &amp; Vale UHB, Noah’s Ark / University Hospital Wales</c:v>
                </c:pt>
                <c:pt idx="6">
                  <c:v>Bath, Royal United Hospital </c:v>
                </c:pt>
                <c:pt idx="7">
                  <c:v>Swindon, Great Weston Hospital </c:v>
                </c:pt>
                <c:pt idx="8">
                  <c:v>Cwm Taf Morgannwg UHB, Royal Glamorgan Hospital </c:v>
                </c:pt>
                <c:pt idx="9">
                  <c:v>Hywel Dda UHB, Withybush Hospital</c:v>
                </c:pt>
                <c:pt idx="10">
                  <c:v>Cwm Taf Morgannwg UHB, Prince Charles Hospital</c:v>
                </c:pt>
                <c:pt idx="11">
                  <c:v>Cwm Taf Morgannwg UHB, Princess of Wales Hospital</c:v>
                </c:pt>
                <c:pt idx="12">
                  <c:v>Taunton, Musgrove Park Hospital </c:v>
                </c:pt>
                <c:pt idx="13">
                  <c:v>Gloucester, Gloucestershire Hospitals</c:v>
                </c:pt>
                <c:pt idx="14">
                  <c:v>Swansea Bay UHB, Morriston / Singleton Hospitals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Q1'!$D$58:$D$75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6</c:v>
                </c:pt>
                <c:pt idx="9">
                  <c:v>17</c:v>
                </c:pt>
                <c:pt idx="10">
                  <c:v>18</c:v>
                </c:pt>
                <c:pt idx="11">
                  <c:v>20</c:v>
                </c:pt>
                <c:pt idx="12">
                  <c:v>37</c:v>
                </c:pt>
                <c:pt idx="13">
                  <c:v>30</c:v>
                </c:pt>
                <c:pt idx="14">
                  <c:v>19</c:v>
                </c:pt>
                <c:pt idx="15">
                  <c:v>35</c:v>
                </c:pt>
                <c:pt idx="16">
                  <c:v>72</c:v>
                </c:pt>
                <c:pt idx="17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Q1'!$E$57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Bristol Royal Hospital for Children</c:v>
                </c:pt>
                <c:pt idx="5">
                  <c:v>Cardiff &amp; Vale UHB, Noah’s Ark / University Hospital Wales</c:v>
                </c:pt>
                <c:pt idx="6">
                  <c:v>Bath, Royal United Hospital </c:v>
                </c:pt>
                <c:pt idx="7">
                  <c:v>Swindon, Great Weston Hospital </c:v>
                </c:pt>
                <c:pt idx="8">
                  <c:v>Cwm Taf Morgannwg UHB, Royal Glamorgan Hospital </c:v>
                </c:pt>
                <c:pt idx="9">
                  <c:v>Hywel Dda UHB, Withybush Hospital</c:v>
                </c:pt>
                <c:pt idx="10">
                  <c:v>Cwm Taf Morgannwg UHB, Prince Charles Hospital</c:v>
                </c:pt>
                <c:pt idx="11">
                  <c:v>Cwm Taf Morgannwg UHB, Princess of Wales Hospital</c:v>
                </c:pt>
                <c:pt idx="12">
                  <c:v>Taunton, Musgrove Park Hospital </c:v>
                </c:pt>
                <c:pt idx="13">
                  <c:v>Gloucester, Gloucestershire Hospitals</c:v>
                </c:pt>
                <c:pt idx="14">
                  <c:v>Swansea Bay UHB, Morriston / Singleton Hospitals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Q1'!$E$58:$E$75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14</c:v>
                </c:pt>
                <c:pt idx="13">
                  <c:v>42</c:v>
                </c:pt>
                <c:pt idx="14">
                  <c:v>0</c:v>
                </c:pt>
                <c:pt idx="15">
                  <c:v>15</c:v>
                </c:pt>
                <c:pt idx="16">
                  <c:v>19</c:v>
                </c:pt>
                <c:pt idx="17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576768"/>
        <c:axId val="238578304"/>
      </c:barChart>
      <c:catAx>
        <c:axId val="238576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578304"/>
        <c:crosses val="autoZero"/>
        <c:auto val="1"/>
        <c:lblAlgn val="ctr"/>
        <c:lblOffset val="100"/>
        <c:noMultiLvlLbl val="0"/>
      </c:catAx>
      <c:valAx>
        <c:axId val="23857830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3857676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Q1'!$B$81:$B$98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Hywel Dda UHB, Withybush Hospital</c:v>
                </c:pt>
                <c:pt idx="5">
                  <c:v>Torquay, Torbay General District Hospital </c:v>
                </c:pt>
                <c:pt idx="6">
                  <c:v>Swansea Bay UHB, Morriston / Singleton Hospitals</c:v>
                </c:pt>
                <c:pt idx="7">
                  <c:v>Bath, Royal United Hospital </c:v>
                </c:pt>
                <c:pt idx="8">
                  <c:v>Bristol Royal Hospital for Children</c:v>
                </c:pt>
                <c:pt idx="9">
                  <c:v>Exeter, Royal Devon and Exeter Hospital </c:v>
                </c:pt>
                <c:pt idx="10">
                  <c:v>Swindon, Great Weston Hospital </c:v>
                </c:pt>
                <c:pt idx="11">
                  <c:v>Aneurin Bevan UHB, Nevill Hall &amp; Royal Gwent Hospitals</c:v>
                </c:pt>
                <c:pt idx="12">
                  <c:v>Cardiff &amp; Vale UHB, Noah’s Ark / University Hospital Wales</c:v>
                </c:pt>
                <c:pt idx="13">
                  <c:v>Gloucester, Gloucestershire Hospitals</c:v>
                </c:pt>
                <c:pt idx="14">
                  <c:v>Cwm Taf Morgannwg UHB, Princess of Wales Hospital</c:v>
                </c:pt>
                <c:pt idx="15">
                  <c:v>Taunton, Musgrove Park Hospital </c:v>
                </c:pt>
                <c:pt idx="16">
                  <c:v>Cwm Taf Morgannwg UHB, Royal Glamorgan Hospital </c:v>
                </c:pt>
                <c:pt idx="17">
                  <c:v>Cwm Taf Morgannwg UHB, Prince Charles Hospital</c:v>
                </c:pt>
              </c:strCache>
            </c:strRef>
          </c:cat>
          <c:val>
            <c:numRef>
              <c:f>'Graph data Q1'!$C$81:$C$98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0.03</c:v>
                </c:pt>
                <c:pt idx="6">
                  <c:v>3.49E-2</c:v>
                </c:pt>
                <c:pt idx="7">
                  <c:v>0.04</c:v>
                </c:pt>
                <c:pt idx="8">
                  <c:v>0.06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9.0999999999999998E-2</c:v>
                </c:pt>
                <c:pt idx="12">
                  <c:v>0.10199999999999999</c:v>
                </c:pt>
                <c:pt idx="13">
                  <c:v>0.1091</c:v>
                </c:pt>
                <c:pt idx="14">
                  <c:v>0.15</c:v>
                </c:pt>
                <c:pt idx="15">
                  <c:v>0.15</c:v>
                </c:pt>
                <c:pt idx="16">
                  <c:v>0.25929999999999997</c:v>
                </c:pt>
                <c:pt idx="17">
                  <c:v>0.28499999999999998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599552"/>
        <c:axId val="238634112"/>
      </c:barChart>
      <c:catAx>
        <c:axId val="238599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634112"/>
        <c:crosses val="autoZero"/>
        <c:auto val="1"/>
        <c:lblAlgn val="ctr"/>
        <c:lblOffset val="100"/>
        <c:noMultiLvlLbl val="0"/>
      </c:catAx>
      <c:valAx>
        <c:axId val="23863411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599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Q1'!$F$81:$F$98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Bristol Royal Hospital for Children</c:v>
                </c:pt>
                <c:pt idx="5">
                  <c:v>Cardiff &amp; Vale UHB, Noah’s Ark / University Hospital Wales</c:v>
                </c:pt>
                <c:pt idx="6">
                  <c:v>Cwm Taf Morgannwg UHB, Royal Glamorgan Hospital </c:v>
                </c:pt>
                <c:pt idx="7">
                  <c:v>Hywel Dda UHB, Withybush Hospital</c:v>
                </c:pt>
                <c:pt idx="8">
                  <c:v>Gloucester, Gloucestershire Hospitals</c:v>
                </c:pt>
                <c:pt idx="9">
                  <c:v>Torquay, Torbay General District Hospital </c:v>
                </c:pt>
                <c:pt idx="10">
                  <c:v>Swansea Bay UHB, Morriston / Singleton Hospitals</c:v>
                </c:pt>
                <c:pt idx="11">
                  <c:v>Taunton, Musgrove Park Hospital </c:v>
                </c:pt>
                <c:pt idx="12">
                  <c:v>Exeter, Royal Devon and Exeter Hospital </c:v>
                </c:pt>
                <c:pt idx="13">
                  <c:v>Cwm Taf Morgannwg UHB, Prince Charles Hospital</c:v>
                </c:pt>
                <c:pt idx="14">
                  <c:v>Bath, Royal United Hospital </c:v>
                </c:pt>
                <c:pt idx="15">
                  <c:v>Swindon, Great Weston Hospital </c:v>
                </c:pt>
                <c:pt idx="16">
                  <c:v>Cwm Taf Morgannwg UHB, Princess of Wales Hospital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Q1'!$G$81:$G$98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0.02</c:v>
                </c:pt>
                <c:pt idx="12">
                  <c:v>0.03</c:v>
                </c:pt>
                <c:pt idx="13">
                  <c:v>3.6999999999999998E-2</c:v>
                </c:pt>
                <c:pt idx="14">
                  <c:v>0.04</c:v>
                </c:pt>
                <c:pt idx="15">
                  <c:v>0.04</c:v>
                </c:pt>
                <c:pt idx="16">
                  <c:v>0.05</c:v>
                </c:pt>
                <c:pt idx="17">
                  <c:v>0.11899999999999999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666880"/>
        <c:axId val="238668416"/>
      </c:barChart>
      <c:catAx>
        <c:axId val="238666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668416"/>
        <c:crosses val="autoZero"/>
        <c:auto val="1"/>
        <c:lblAlgn val="ctr"/>
        <c:lblOffset val="100"/>
        <c:noMultiLvlLbl val="0"/>
      </c:catAx>
      <c:valAx>
        <c:axId val="23866841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66688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Q1'!$J$81:$J$97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Aneurin Bevan UHB, Nevill Hall &amp; Royal Gwent Hospitals</c:v>
                </c:pt>
                <c:pt idx="6">
                  <c:v>Cwm Taf Morgannwg UHB, Princess of Wales Hospital</c:v>
                </c:pt>
                <c:pt idx="7">
                  <c:v>Cwm Taf Morgannwg UHB, Royal Glamorgan Hospital </c:v>
                </c:pt>
                <c:pt idx="8">
                  <c:v>Cwm Taf Morgannwg UHB, Prince Charles Hospital</c:v>
                </c:pt>
                <c:pt idx="9">
                  <c:v>Hywel Dda UHB, Glangwilli Hospital</c:v>
                </c:pt>
                <c:pt idx="10">
                  <c:v>Hywel Dda UHB, Withybush Hospital</c:v>
                </c:pt>
                <c:pt idx="11">
                  <c:v>Swansea Bay UHB, Morriston / Singleton Hospitals</c:v>
                </c:pt>
                <c:pt idx="12">
                  <c:v>Torquay, Torbay General District Hospital </c:v>
                </c:pt>
                <c:pt idx="13">
                  <c:v>Bristol, Bristol Heart Institute</c:v>
                </c:pt>
                <c:pt idx="14">
                  <c:v>Barnstaple, North Devon District Hospital </c:v>
                </c:pt>
                <c:pt idx="15">
                  <c:v>Gloucester, Gloucestershire Hospitals</c:v>
                </c:pt>
                <c:pt idx="16">
                  <c:v>Taunton, Musgrove Park Hospital </c:v>
                </c:pt>
              </c:strCache>
            </c:strRef>
          </c:cat>
          <c:val>
            <c:numRef>
              <c:f>'Graph data Q1'!$K$81:$K$97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2.5000000000000001E-3</c:v>
                </c:pt>
                <c:pt idx="13">
                  <c:v>0.08</c:v>
                </c:pt>
                <c:pt idx="14">
                  <c:v>0.14000000000000001</c:v>
                </c:pt>
                <c:pt idx="15">
                  <c:v>0.148148148148148</c:v>
                </c:pt>
                <c:pt idx="16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373888"/>
        <c:axId val="238375680"/>
      </c:barChart>
      <c:catAx>
        <c:axId val="238373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375680"/>
        <c:crosses val="autoZero"/>
        <c:auto val="1"/>
        <c:lblAlgn val="ctr"/>
        <c:lblOffset val="100"/>
        <c:noMultiLvlLbl val="0"/>
      </c:catAx>
      <c:valAx>
        <c:axId val="23837568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37388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20" fmlaLink="Control!$B$19" fmlaRange="Control!$B$1:$B$18" noThreeD="1" sel="1" val="0"/>
</file>

<file path=xl/ctrlProps/ctrlProp2.xml><?xml version="1.0" encoding="utf-8"?>
<formControlPr xmlns="http://schemas.microsoft.com/office/spreadsheetml/2009/9/main" objectType="Drop" dropLines="18" dropStyle="combo" dx="20" fmlaLink="Control!$B$19" fmlaRange="Control!$B$1:$B$18" noThreeD="1" sel="1" val="0"/>
</file>

<file path=xl/ctrlProps/ctrlProp3.xml><?xml version="1.0" encoding="utf-8"?>
<formControlPr xmlns="http://schemas.microsoft.com/office/spreadsheetml/2009/9/main" objectType="Drop" dropLines="20" dropStyle="combo" dx="20" fmlaLink="Control!$B$41" fmlaRange="Control!$B$22:$B$39" noThreeD="1" sel="10" val="0"/>
</file>

<file path=xl/ctrlProps/ctrlProp4.xml><?xml version="1.0" encoding="utf-8"?>
<formControlPr xmlns="http://schemas.microsoft.com/office/spreadsheetml/2009/9/main" objectType="Drop" dropLines="20" dropStyle="combo" dx="20" fmlaLink="Control!$B$41" fmlaRange="Control!$B$22:$B$40" noThreeD="1" sel="10" val="0"/>
</file>

<file path=xl/ctrlProps/ctrlProp5.xml><?xml version="1.0" encoding="utf-8"?>
<formControlPr xmlns="http://schemas.microsoft.com/office/spreadsheetml/2009/9/main" objectType="Drop" dropLines="18" dropStyle="combo" dx="20" fmlaLink="$B$19" fmlaRange="$B$1:$B$18" noThreeD="1" sel="1" val="0"/>
</file>

<file path=xl/ctrlProps/ctrlProp6.xml><?xml version="1.0" encoding="utf-8"?>
<formControlPr xmlns="http://schemas.microsoft.com/office/spreadsheetml/2009/9/main" objectType="Drop" dropLines="19" dropStyle="combo" dx="20" fmlaLink="$B$41" fmlaRange="$B$22:$B$40" noThreeD="1" sel="1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5" Type="http://schemas.openxmlformats.org/officeDocument/2006/relationships/image" Target="../media/image1.png"/><Relationship Id="rId4" Type="http://schemas.openxmlformats.org/officeDocument/2006/relationships/chart" Target="../charts/chart5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5" Type="http://schemas.openxmlformats.org/officeDocument/2006/relationships/image" Target="../media/image1.png"/><Relationship Id="rId4" Type="http://schemas.openxmlformats.org/officeDocument/2006/relationships/chart" Target="../charts/chart5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166477</xdr:colOff>
      <xdr:row>21</xdr:row>
      <xdr:rowOff>16773</xdr:rowOff>
    </xdr:from>
    <xdr:to>
      <xdr:col>15</xdr:col>
      <xdr:colOff>289165</xdr:colOff>
      <xdr:row>26</xdr:row>
      <xdr:rowOff>88113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5911" y="6510547"/>
          <a:ext cx="2710612" cy="9998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38099</xdr:rowOff>
    </xdr:from>
    <xdr:to>
      <xdr:col>11</xdr:col>
      <xdr:colOff>323850</xdr:colOff>
      <xdr:row>50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219074</xdr:colOff>
      <xdr:row>52</xdr:row>
      <xdr:rowOff>114300</xdr:rowOff>
    </xdr:from>
    <xdr:to>
      <xdr:col>5</xdr:col>
      <xdr:colOff>342900</xdr:colOff>
      <xdr:row>67</xdr:row>
      <xdr:rowOff>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409575</xdr:colOff>
      <xdr:row>52</xdr:row>
      <xdr:rowOff>142875</xdr:rowOff>
    </xdr:from>
    <xdr:to>
      <xdr:col>11</xdr:col>
      <xdr:colOff>161927</xdr:colOff>
      <xdr:row>67</xdr:row>
      <xdr:rowOff>9525</xdr:rowOff>
    </xdr:to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133349</xdr:colOff>
      <xdr:row>70</xdr:row>
      <xdr:rowOff>0</xdr:rowOff>
    </xdr:from>
    <xdr:to>
      <xdr:col>11</xdr:col>
      <xdr:colOff>352424</xdr:colOff>
      <xdr:row>87</xdr:row>
      <xdr:rowOff>19050</xdr:rowOff>
    </xdr:to>
    <xdr:graphicFrame macro="">
      <xdr:nvGraphicFramePr>
        <xdr:cNvPr id="9" name="Chart 3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525780</xdr:colOff>
          <xdr:row>27</xdr:row>
          <xdr:rowOff>236220</xdr:rowOff>
        </xdr:from>
        <xdr:to>
          <xdr:col>11</xdr:col>
          <xdr:colOff>266700</xdr:colOff>
          <xdr:row>29</xdr:row>
          <xdr:rowOff>83820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E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311150</xdr:colOff>
      <xdr:row>0</xdr:row>
      <xdr:rowOff>361950</xdr:rowOff>
    </xdr:from>
    <xdr:to>
      <xdr:col>13</xdr:col>
      <xdr:colOff>517322</xdr:colOff>
      <xdr:row>5</xdr:row>
      <xdr:rowOff>59039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39350" y="3619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7620</xdr:rowOff>
        </xdr:from>
        <xdr:to>
          <xdr:col>4</xdr:col>
          <xdr:colOff>365760</xdr:colOff>
          <xdr:row>3</xdr:row>
          <xdr:rowOff>175260</xdr:rowOff>
        </xdr:to>
        <xdr:sp macro="" textlink="">
          <xdr:nvSpPr>
            <xdr:cNvPr id="4109" name="Drop Dow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E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38099</xdr:rowOff>
    </xdr:from>
    <xdr:to>
      <xdr:col>11</xdr:col>
      <xdr:colOff>323850</xdr:colOff>
      <xdr:row>50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29</xdr:row>
          <xdr:rowOff>68580</xdr:rowOff>
        </xdr:from>
        <xdr:to>
          <xdr:col>11</xdr:col>
          <xdr:colOff>403860</xdr:colOff>
          <xdr:row>31</xdr:row>
          <xdr:rowOff>38100</xdr:rowOff>
        </xdr:to>
        <xdr:sp macro="" textlink="">
          <xdr:nvSpPr>
            <xdr:cNvPr id="9221" name="Drop Dow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F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200024</xdr:colOff>
      <xdr:row>52</xdr:row>
      <xdr:rowOff>104775</xdr:rowOff>
    </xdr:from>
    <xdr:to>
      <xdr:col>5</xdr:col>
      <xdr:colOff>114300</xdr:colOff>
      <xdr:row>66</xdr:row>
      <xdr:rowOff>180975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52</xdr:row>
      <xdr:rowOff>114301</xdr:rowOff>
    </xdr:from>
    <xdr:to>
      <xdr:col>11</xdr:col>
      <xdr:colOff>257176</xdr:colOff>
      <xdr:row>67</xdr:row>
      <xdr:rowOff>9525</xdr:rowOff>
    </xdr:to>
    <xdr:graphicFrame macro="">
      <xdr:nvGraphicFramePr>
        <xdr:cNvPr id="10" name="Chart 2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219074</xdr:colOff>
      <xdr:row>71</xdr:row>
      <xdr:rowOff>104775</xdr:rowOff>
    </xdr:from>
    <xdr:to>
      <xdr:col>11</xdr:col>
      <xdr:colOff>438149</xdr:colOff>
      <xdr:row>88</xdr:row>
      <xdr:rowOff>123825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76200</xdr:colOff>
      <xdr:row>0</xdr:row>
      <xdr:rowOff>349250</xdr:rowOff>
    </xdr:from>
    <xdr:to>
      <xdr:col>13</xdr:col>
      <xdr:colOff>288722</xdr:colOff>
      <xdr:row>5</xdr:row>
      <xdr:rowOff>48244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721850" y="3492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2</xdr:row>
          <xdr:rowOff>22860</xdr:rowOff>
        </xdr:from>
        <xdr:to>
          <xdr:col>4</xdr:col>
          <xdr:colOff>502920</xdr:colOff>
          <xdr:row>3</xdr:row>
          <xdr:rowOff>182880</xdr:rowOff>
        </xdr:to>
        <xdr:sp macro="" textlink="">
          <xdr:nvSpPr>
            <xdr:cNvPr id="9222" name="Drop Dow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F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7</xdr:row>
          <xdr:rowOff>38100</xdr:rowOff>
        </xdr:from>
        <xdr:to>
          <xdr:col>5</xdr:col>
          <xdr:colOff>571500</xdr:colOff>
          <xdr:row>8</xdr:row>
          <xdr:rowOff>175260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16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29</xdr:row>
          <xdr:rowOff>38100</xdr:rowOff>
        </xdr:from>
        <xdr:to>
          <xdr:col>5</xdr:col>
          <xdr:colOff>571500</xdr:colOff>
          <xdr:row>30</xdr:row>
          <xdr:rowOff>182880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16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880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16075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7344833" y="5746750"/>
          <a:ext cx="1809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5180734" y="5761568"/>
          <a:ext cx="1809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672465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670357</xdr:colOff>
      <xdr:row>4</xdr:row>
      <xdr:rowOff>56499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674370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T49"/>
  <sheetViews>
    <sheetView showGridLines="0" tabSelected="1" topLeftCell="I1" zoomScale="106" zoomScaleNormal="106" workbookViewId="0">
      <selection activeCell="N11" sqref="N11"/>
    </sheetView>
  </sheetViews>
  <sheetFormatPr defaultColWidth="0" defaultRowHeight="14.4" zeroHeight="1" x14ac:dyDescent="0.3"/>
  <cols>
    <col min="1" max="8" width="0" hidden="1" customWidth="1"/>
    <col min="9" max="9" width="8.88671875" customWidth="1"/>
    <col min="10" max="10" width="3.33203125" style="33" customWidth="1"/>
    <col min="11" max="11" width="8.109375" customWidth="1"/>
    <col min="12" max="14" width="28.88671875" style="2" customWidth="1"/>
    <col min="15" max="15" width="8.33203125" customWidth="1"/>
    <col min="16" max="16" width="12" customWidth="1"/>
    <col min="17" max="17" width="12.88671875" hidden="1" customWidth="1"/>
    <col min="18" max="18" width="13.88671875" hidden="1" customWidth="1"/>
    <col min="19" max="19" width="11" hidden="1" customWidth="1"/>
    <col min="20" max="20" width="0" hidden="1" customWidth="1"/>
    <col min="21" max="16384" width="8.88671875" hidden="1"/>
  </cols>
  <sheetData>
    <row r="1" spans="9:19" s="9" customFormat="1" ht="67.5" customHeight="1" x14ac:dyDescent="0.5">
      <c r="I1" s="293" t="s">
        <v>51</v>
      </c>
      <c r="J1" s="293"/>
      <c r="K1" s="294"/>
      <c r="L1" s="294"/>
      <c r="M1" s="294"/>
      <c r="N1" s="294"/>
      <c r="O1" s="294"/>
      <c r="P1" s="294"/>
      <c r="Q1" s="294"/>
      <c r="R1" s="294"/>
      <c r="S1" s="294"/>
    </row>
    <row r="2" spans="9:19" s="10" customFormat="1" ht="25.8" x14ac:dyDescent="0.5">
      <c r="I2" s="169"/>
      <c r="J2" s="169"/>
      <c r="K2" s="170" t="s">
        <v>187</v>
      </c>
      <c r="L2" s="171"/>
      <c r="M2" s="171"/>
      <c r="N2" s="171"/>
      <c r="O2" s="169"/>
      <c r="P2" s="169"/>
      <c r="Q2" s="169"/>
      <c r="R2" s="169"/>
      <c r="S2" s="169"/>
    </row>
    <row r="3" spans="9:19" s="12" customFormat="1" ht="25.8" x14ac:dyDescent="0.5">
      <c r="I3" s="172"/>
      <c r="J3" s="172"/>
      <c r="K3" s="173"/>
      <c r="L3" s="174"/>
      <c r="M3" s="174"/>
      <c r="N3" s="174"/>
      <c r="O3" s="172"/>
      <c r="P3" s="172"/>
      <c r="Q3" s="172"/>
      <c r="R3" s="172"/>
      <c r="S3" s="172"/>
    </row>
    <row r="4" spans="9:19" s="12" customFormat="1" ht="18.899999999999999" customHeight="1" x14ac:dyDescent="0.3">
      <c r="I4" s="291" t="s">
        <v>13</v>
      </c>
      <c r="J4" s="291"/>
      <c r="K4" s="291"/>
      <c r="L4" s="291"/>
      <c r="M4" s="291"/>
      <c r="N4" s="291"/>
      <c r="O4" s="291"/>
      <c r="P4" s="291"/>
      <c r="Q4" s="291"/>
      <c r="R4" s="291"/>
      <c r="S4" s="291"/>
    </row>
    <row r="5" spans="9:19" s="12" customFormat="1" ht="15.75" customHeight="1" x14ac:dyDescent="0.3">
      <c r="I5" s="292" t="s">
        <v>100</v>
      </c>
      <c r="J5" s="292"/>
      <c r="K5" s="292"/>
      <c r="L5" s="292"/>
      <c r="M5" s="292"/>
      <c r="N5" s="292"/>
      <c r="O5" s="292"/>
      <c r="P5" s="292"/>
      <c r="Q5" s="292"/>
      <c r="R5" s="292"/>
      <c r="S5" s="292"/>
    </row>
    <row r="6" spans="9:19" ht="13.5" customHeight="1" x14ac:dyDescent="0.3">
      <c r="I6" s="172"/>
      <c r="J6" s="172"/>
      <c r="K6" s="172"/>
      <c r="L6" s="174"/>
      <c r="M6" s="174"/>
      <c r="N6" s="174"/>
      <c r="O6" s="172"/>
      <c r="P6" s="172"/>
      <c r="Q6" s="172"/>
      <c r="R6" s="172"/>
      <c r="S6" s="172"/>
    </row>
    <row r="7" spans="9:19" s="33" customFormat="1" ht="9" customHeight="1" x14ac:dyDescent="0.3">
      <c r="I7" s="175"/>
      <c r="J7" s="176"/>
      <c r="K7" s="177"/>
      <c r="L7" s="177"/>
      <c r="M7" s="178"/>
      <c r="N7" s="178"/>
      <c r="O7" s="179"/>
      <c r="P7" s="172"/>
      <c r="Q7" s="172"/>
      <c r="R7" s="172"/>
      <c r="S7" s="172"/>
    </row>
    <row r="8" spans="9:19" s="33" customFormat="1" ht="25.5" customHeight="1" x14ac:dyDescent="0.3">
      <c r="I8" s="175"/>
      <c r="J8" s="176"/>
      <c r="K8" s="180" t="s">
        <v>102</v>
      </c>
      <c r="L8" s="178"/>
      <c r="M8" s="178"/>
      <c r="N8" s="178"/>
      <c r="O8" s="179"/>
      <c r="P8" s="172"/>
      <c r="Q8" s="172"/>
      <c r="R8" s="172"/>
      <c r="S8" s="172"/>
    </row>
    <row r="9" spans="9:19" s="33" customFormat="1" ht="25.5" customHeight="1" x14ac:dyDescent="0.3">
      <c r="I9" s="175"/>
      <c r="J9" s="176"/>
      <c r="K9" s="194" t="s">
        <v>4</v>
      </c>
      <c r="L9" s="285" t="s">
        <v>145</v>
      </c>
      <c r="M9" s="285" t="s">
        <v>103</v>
      </c>
      <c r="N9" s="285" t="s">
        <v>104</v>
      </c>
      <c r="O9" s="181"/>
      <c r="P9" s="172"/>
      <c r="Q9" s="172"/>
      <c r="R9" s="172"/>
      <c r="S9" s="172"/>
    </row>
    <row r="10" spans="9:19" s="33" customFormat="1" ht="25.5" customHeight="1" x14ac:dyDescent="0.3">
      <c r="I10" s="175"/>
      <c r="J10" s="176"/>
      <c r="K10" s="194" t="s">
        <v>5</v>
      </c>
      <c r="L10" s="285" t="s">
        <v>145</v>
      </c>
      <c r="M10" s="285" t="s">
        <v>103</v>
      </c>
      <c r="N10" s="285" t="s">
        <v>104</v>
      </c>
      <c r="O10" s="179"/>
      <c r="P10" s="172"/>
      <c r="Q10" s="172"/>
      <c r="R10" s="172"/>
      <c r="S10" s="172"/>
    </row>
    <row r="11" spans="9:19" s="33" customFormat="1" ht="25.5" customHeight="1" x14ac:dyDescent="0.3">
      <c r="I11" s="175"/>
      <c r="J11" s="176"/>
      <c r="K11" s="284" t="s">
        <v>6</v>
      </c>
      <c r="L11" s="285" t="s">
        <v>145</v>
      </c>
      <c r="M11" s="285" t="s">
        <v>103</v>
      </c>
      <c r="N11" s="285" t="s">
        <v>104</v>
      </c>
      <c r="O11" s="182"/>
      <c r="P11" s="172"/>
      <c r="Q11" s="172"/>
      <c r="R11" s="172"/>
      <c r="S11" s="172"/>
    </row>
    <row r="12" spans="9:19" s="33" customFormat="1" ht="25.5" customHeight="1" x14ac:dyDescent="0.3">
      <c r="I12" s="175"/>
      <c r="J12" s="176"/>
      <c r="K12" s="196" t="s">
        <v>7</v>
      </c>
      <c r="L12" s="195" t="s">
        <v>145</v>
      </c>
      <c r="M12" s="195" t="s">
        <v>103</v>
      </c>
      <c r="N12" s="195" t="s">
        <v>104</v>
      </c>
      <c r="O12" s="179"/>
      <c r="P12" s="172"/>
      <c r="Q12" s="172"/>
      <c r="R12" s="172"/>
      <c r="S12" s="172"/>
    </row>
    <row r="13" spans="9:19" s="33" customFormat="1" ht="25.5" customHeight="1" x14ac:dyDescent="0.3">
      <c r="I13" s="175"/>
      <c r="J13" s="183"/>
      <c r="K13" s="184"/>
      <c r="L13" s="185"/>
      <c r="M13" s="186"/>
      <c r="N13" s="186"/>
      <c r="O13" s="179"/>
      <c r="P13" s="172"/>
      <c r="Q13" s="172"/>
      <c r="R13" s="172"/>
      <c r="S13" s="172"/>
    </row>
    <row r="14" spans="9:19" s="33" customFormat="1" ht="25.5" customHeight="1" x14ac:dyDescent="0.3">
      <c r="I14" s="175"/>
      <c r="J14" s="183"/>
      <c r="K14" s="184"/>
      <c r="L14" s="187"/>
      <c r="M14" s="178"/>
      <c r="N14" s="178"/>
      <c r="O14" s="179"/>
      <c r="P14" s="172"/>
      <c r="Q14" s="172"/>
      <c r="R14" s="172"/>
      <c r="S14" s="172"/>
    </row>
    <row r="15" spans="9:19" s="33" customFormat="1" ht="25.5" customHeight="1" x14ac:dyDescent="0.3">
      <c r="I15" s="175"/>
      <c r="J15" s="183"/>
      <c r="K15" s="188" t="s">
        <v>105</v>
      </c>
      <c r="L15" s="181"/>
      <c r="M15" s="178"/>
      <c r="N15" s="178"/>
      <c r="O15" s="179"/>
      <c r="P15" s="172"/>
      <c r="Q15" s="172"/>
      <c r="R15" s="172"/>
      <c r="S15" s="172"/>
    </row>
    <row r="16" spans="9:19" s="33" customFormat="1" ht="25.5" customHeight="1" x14ac:dyDescent="0.3">
      <c r="I16" s="175"/>
      <c r="J16" s="183"/>
      <c r="K16" s="189"/>
      <c r="L16" s="192" t="s">
        <v>145</v>
      </c>
      <c r="M16" s="192" t="s">
        <v>99</v>
      </c>
      <c r="N16" s="190"/>
      <c r="O16" s="179"/>
      <c r="P16" s="172"/>
      <c r="Q16" s="172"/>
      <c r="R16" s="172"/>
      <c r="S16" s="172"/>
    </row>
    <row r="17" spans="9:19" s="33" customFormat="1" ht="25.5" customHeight="1" x14ac:dyDescent="0.3">
      <c r="I17" s="175"/>
      <c r="J17" s="183"/>
      <c r="K17" s="189"/>
      <c r="L17" s="187"/>
      <c r="M17" s="178"/>
      <c r="N17" s="178"/>
      <c r="O17" s="179"/>
      <c r="P17" s="172"/>
      <c r="Q17" s="172"/>
      <c r="R17" s="172"/>
      <c r="S17" s="172"/>
    </row>
    <row r="18" spans="9:19" s="33" customFormat="1" ht="25.5" customHeight="1" x14ac:dyDescent="0.3">
      <c r="I18" s="172"/>
      <c r="J18" s="172"/>
      <c r="K18" s="172"/>
      <c r="L18" s="174"/>
      <c r="M18" s="174"/>
      <c r="N18" s="174"/>
      <c r="O18" s="172"/>
      <c r="P18" s="172"/>
      <c r="Q18" s="172"/>
      <c r="R18" s="172"/>
      <c r="S18" s="172"/>
    </row>
    <row r="19" spans="9:19" s="33" customFormat="1" ht="25.5" customHeight="1" x14ac:dyDescent="0.3">
      <c r="I19" s="172"/>
      <c r="J19" s="172"/>
      <c r="K19" s="191" t="s">
        <v>144</v>
      </c>
      <c r="L19" s="174"/>
      <c r="M19" s="174"/>
      <c r="N19" s="174"/>
      <c r="O19" s="172"/>
      <c r="P19" s="172"/>
      <c r="Q19" s="172"/>
      <c r="R19" s="172"/>
      <c r="S19" s="172"/>
    </row>
    <row r="20" spans="9:19" x14ac:dyDescent="0.3">
      <c r="I20" s="172"/>
      <c r="J20" s="172"/>
      <c r="K20" s="172" t="s">
        <v>150</v>
      </c>
      <c r="L20" s="174"/>
      <c r="M20" s="174"/>
      <c r="N20" s="174"/>
      <c r="O20" s="172"/>
      <c r="P20" s="172"/>
      <c r="Q20" s="172"/>
      <c r="R20" s="172"/>
      <c r="S20" s="172"/>
    </row>
    <row r="21" spans="9:19" x14ac:dyDescent="0.3">
      <c r="I21" s="172"/>
      <c r="J21" s="172"/>
      <c r="K21" s="172"/>
      <c r="L21" s="174"/>
      <c r="M21" s="174"/>
      <c r="N21" s="174"/>
      <c r="O21" s="172"/>
      <c r="P21" s="172"/>
      <c r="Q21" s="172"/>
      <c r="R21" s="172"/>
      <c r="S21" s="172"/>
    </row>
    <row r="22" spans="9:19" x14ac:dyDescent="0.3">
      <c r="I22" s="172"/>
      <c r="J22" s="172"/>
      <c r="K22" s="172"/>
      <c r="L22" s="174"/>
      <c r="M22" s="174"/>
      <c r="N22" s="174"/>
      <c r="O22" s="172"/>
      <c r="P22" s="172"/>
      <c r="Q22" s="172"/>
      <c r="R22" s="172"/>
      <c r="S22" s="172"/>
    </row>
    <row r="23" spans="9:19" x14ac:dyDescent="0.3">
      <c r="I23" s="172"/>
      <c r="J23" s="172"/>
      <c r="K23" s="172"/>
      <c r="L23" s="174"/>
      <c r="M23" s="174"/>
      <c r="N23" s="174"/>
      <c r="O23" s="172"/>
      <c r="P23" s="172"/>
      <c r="Q23" s="172"/>
      <c r="R23" s="172"/>
      <c r="S23" s="172"/>
    </row>
    <row r="24" spans="9:19" x14ac:dyDescent="0.3">
      <c r="I24" s="172"/>
      <c r="J24" s="172"/>
      <c r="K24" s="172"/>
      <c r="L24" s="174"/>
      <c r="M24" s="174"/>
      <c r="N24" s="174"/>
      <c r="O24" s="172"/>
      <c r="P24" s="172"/>
      <c r="Q24" s="172"/>
      <c r="R24" s="172"/>
      <c r="S24" s="172"/>
    </row>
    <row r="25" spans="9:19" x14ac:dyDescent="0.3">
      <c r="I25" s="172"/>
      <c r="J25" s="172"/>
      <c r="K25" s="172"/>
      <c r="L25" s="174"/>
      <c r="M25" s="174"/>
      <c r="N25" s="174"/>
      <c r="O25" s="172"/>
      <c r="P25" s="172"/>
      <c r="Q25" s="172"/>
      <c r="R25" s="172"/>
      <c r="S25" s="172"/>
    </row>
    <row r="26" spans="9:19" x14ac:dyDescent="0.3">
      <c r="I26" s="172"/>
      <c r="J26" s="172"/>
      <c r="K26" s="172"/>
      <c r="L26" s="174"/>
      <c r="M26" s="174"/>
      <c r="N26" s="174"/>
      <c r="O26" s="172"/>
      <c r="P26" s="172"/>
      <c r="Q26" s="172"/>
      <c r="R26" s="172"/>
      <c r="S26" s="172"/>
    </row>
    <row r="27" spans="9:19" x14ac:dyDescent="0.3">
      <c r="I27" s="172"/>
      <c r="J27" s="172"/>
      <c r="K27" s="172"/>
      <c r="L27" s="174"/>
      <c r="M27" s="174"/>
      <c r="N27" s="174"/>
      <c r="O27" s="172"/>
      <c r="P27" s="172"/>
      <c r="Q27" s="172"/>
      <c r="R27" s="172"/>
      <c r="S27" s="172"/>
    </row>
    <row r="28" spans="9:19" hidden="1" x14ac:dyDescent="0.3">
      <c r="I28" s="181"/>
      <c r="J28" s="181"/>
      <c r="K28" s="181"/>
      <c r="L28" s="187"/>
      <c r="M28" s="187"/>
      <c r="N28" s="187"/>
      <c r="O28" s="181"/>
      <c r="P28" s="181"/>
      <c r="Q28" s="181"/>
      <c r="R28" s="181"/>
      <c r="S28" s="181"/>
    </row>
    <row r="29" spans="9:19" hidden="1" x14ac:dyDescent="0.3">
      <c r="I29" s="181"/>
      <c r="J29" s="181"/>
      <c r="K29" s="181"/>
      <c r="L29" s="187"/>
      <c r="M29" s="187"/>
      <c r="N29" s="187"/>
      <c r="O29" s="181"/>
      <c r="P29" s="181"/>
      <c r="Q29" s="181"/>
      <c r="R29" s="181"/>
      <c r="S29" s="181"/>
    </row>
    <row r="30" spans="9:19" hidden="1" x14ac:dyDescent="0.3">
      <c r="I30" s="181"/>
      <c r="J30" s="181"/>
      <c r="K30" s="181"/>
      <c r="L30" s="187"/>
      <c r="M30" s="187"/>
      <c r="N30" s="187"/>
      <c r="O30" s="181"/>
      <c r="P30" s="181"/>
      <c r="Q30" s="181"/>
      <c r="R30" s="181"/>
      <c r="S30" s="181"/>
    </row>
    <row r="31" spans="9:19" hidden="1" x14ac:dyDescent="0.3">
      <c r="I31" s="181"/>
      <c r="J31" s="181"/>
      <c r="K31" s="181"/>
      <c r="L31" s="187"/>
      <c r="M31" s="187"/>
      <c r="N31" s="187"/>
      <c r="O31" s="181"/>
      <c r="P31" s="181"/>
      <c r="Q31" s="181"/>
      <c r="R31" s="181"/>
      <c r="S31" s="181"/>
    </row>
    <row r="32" spans="9:19" hidden="1" x14ac:dyDescent="0.3">
      <c r="I32" s="181"/>
      <c r="J32" s="181"/>
      <c r="K32" s="181"/>
      <c r="L32" s="187"/>
      <c r="M32" s="187"/>
      <c r="N32" s="187"/>
      <c r="O32" s="181"/>
      <c r="P32" s="181"/>
      <c r="Q32" s="181"/>
      <c r="R32" s="181"/>
      <c r="S32" s="181"/>
    </row>
    <row r="33" spans="9:19" hidden="1" x14ac:dyDescent="0.3">
      <c r="I33" s="181"/>
      <c r="J33" s="181"/>
      <c r="K33" s="181"/>
      <c r="L33" s="187"/>
      <c r="M33" s="187"/>
      <c r="N33" s="187"/>
      <c r="O33" s="181"/>
      <c r="P33" s="181"/>
      <c r="Q33" s="181"/>
      <c r="R33" s="181"/>
      <c r="S33" s="181"/>
    </row>
    <row r="34" spans="9:19" hidden="1" x14ac:dyDescent="0.3">
      <c r="I34" s="181"/>
      <c r="J34" s="181"/>
      <c r="K34" s="181"/>
      <c r="L34" s="187"/>
      <c r="M34" s="187"/>
      <c r="N34" s="187"/>
      <c r="O34" s="181"/>
      <c r="P34" s="181"/>
      <c r="Q34" s="181"/>
      <c r="R34" s="181"/>
      <c r="S34" s="181"/>
    </row>
    <row r="35" spans="9:19" hidden="1" x14ac:dyDescent="0.3">
      <c r="I35" s="181"/>
      <c r="J35" s="181"/>
      <c r="K35" s="181"/>
      <c r="L35" s="187"/>
      <c r="M35" s="187"/>
      <c r="N35" s="187"/>
      <c r="O35" s="181"/>
      <c r="P35" s="181"/>
      <c r="Q35" s="181"/>
      <c r="R35" s="181"/>
      <c r="S35" s="181"/>
    </row>
    <row r="36" spans="9:19" hidden="1" x14ac:dyDescent="0.3">
      <c r="I36" s="181"/>
      <c r="J36" s="181"/>
      <c r="K36" s="181"/>
      <c r="L36" s="187"/>
      <c r="M36" s="187"/>
      <c r="N36" s="187"/>
      <c r="O36" s="181"/>
      <c r="P36" s="181"/>
      <c r="Q36" s="181"/>
      <c r="R36" s="181"/>
      <c r="S36" s="181"/>
    </row>
    <row r="37" spans="9:19" hidden="1" x14ac:dyDescent="0.3">
      <c r="I37" s="181"/>
      <c r="J37" s="181"/>
      <c r="K37" s="181"/>
      <c r="L37" s="187"/>
      <c r="M37" s="187"/>
      <c r="N37" s="187"/>
      <c r="O37" s="181"/>
      <c r="P37" s="181"/>
      <c r="Q37" s="181"/>
      <c r="R37" s="181"/>
      <c r="S37" s="181"/>
    </row>
    <row r="38" spans="9:19" hidden="1" x14ac:dyDescent="0.3">
      <c r="I38" s="181"/>
      <c r="J38" s="181"/>
      <c r="K38" s="181"/>
      <c r="L38" s="187"/>
      <c r="M38" s="187"/>
      <c r="N38" s="187"/>
      <c r="O38" s="181"/>
      <c r="P38" s="181"/>
      <c r="Q38" s="181"/>
      <c r="R38" s="181"/>
      <c r="S38" s="181"/>
    </row>
    <row r="39" spans="9:19" hidden="1" x14ac:dyDescent="0.3">
      <c r="I39" s="181"/>
      <c r="J39" s="181"/>
      <c r="K39" s="181"/>
      <c r="L39" s="187"/>
      <c r="M39" s="187"/>
      <c r="N39" s="187"/>
      <c r="O39" s="181"/>
      <c r="P39" s="181"/>
      <c r="Q39" s="181"/>
      <c r="R39" s="181"/>
      <c r="S39" s="181"/>
    </row>
    <row r="40" spans="9:19" hidden="1" x14ac:dyDescent="0.3">
      <c r="I40" s="181"/>
      <c r="J40" s="181"/>
      <c r="K40" s="181"/>
      <c r="L40" s="187"/>
      <c r="M40" s="187"/>
      <c r="N40" s="187"/>
      <c r="O40" s="181"/>
      <c r="P40" s="181"/>
      <c r="Q40" s="181"/>
      <c r="R40" s="181"/>
      <c r="S40" s="181"/>
    </row>
    <row r="41" spans="9:19" hidden="1" x14ac:dyDescent="0.3">
      <c r="I41" s="181"/>
      <c r="J41" s="181"/>
      <c r="K41" s="181"/>
      <c r="L41" s="187"/>
      <c r="M41" s="187"/>
      <c r="N41" s="187"/>
      <c r="O41" s="181"/>
      <c r="P41" s="181"/>
      <c r="Q41" s="181"/>
      <c r="R41" s="181"/>
      <c r="S41" s="181"/>
    </row>
    <row r="42" spans="9:19" hidden="1" x14ac:dyDescent="0.3">
      <c r="I42" s="181"/>
      <c r="J42" s="181"/>
      <c r="K42" s="181"/>
      <c r="L42" s="187"/>
      <c r="M42" s="187"/>
      <c r="N42" s="187"/>
      <c r="O42" s="181"/>
      <c r="P42" s="181"/>
      <c r="Q42" s="181"/>
      <c r="R42" s="181"/>
      <c r="S42" s="181"/>
    </row>
    <row r="43" spans="9:19" hidden="1" x14ac:dyDescent="0.3">
      <c r="I43" s="181"/>
      <c r="J43" s="181"/>
      <c r="K43" s="181"/>
      <c r="L43" s="187"/>
      <c r="M43" s="187"/>
      <c r="N43" s="187"/>
      <c r="O43" s="181"/>
      <c r="P43" s="181"/>
      <c r="Q43" s="181"/>
      <c r="R43" s="181"/>
      <c r="S43" s="181"/>
    </row>
    <row r="44" spans="9:19" hidden="1" x14ac:dyDescent="0.3">
      <c r="I44" s="181"/>
      <c r="J44" s="181"/>
      <c r="K44" s="181"/>
      <c r="L44" s="187"/>
      <c r="M44" s="187"/>
      <c r="N44" s="187"/>
      <c r="O44" s="181"/>
      <c r="P44" s="181"/>
      <c r="Q44" s="181"/>
      <c r="R44" s="181"/>
      <c r="S44" s="181"/>
    </row>
    <row r="45" spans="9:19" x14ac:dyDescent="0.3">
      <c r="I45" s="181"/>
      <c r="J45" s="181"/>
      <c r="K45" s="181"/>
      <c r="L45" s="187"/>
      <c r="M45" s="187"/>
      <c r="N45" s="187"/>
      <c r="O45" s="181"/>
      <c r="P45" s="181"/>
      <c r="Q45" s="181"/>
      <c r="R45" s="181"/>
      <c r="S45" s="181"/>
    </row>
    <row r="46" spans="9:19" x14ac:dyDescent="0.3">
      <c r="I46" s="181"/>
      <c r="J46" s="181"/>
      <c r="K46" s="181"/>
      <c r="L46" s="187"/>
      <c r="M46" s="187"/>
      <c r="N46" s="187"/>
      <c r="O46" s="181"/>
      <c r="P46" s="181"/>
      <c r="Q46" s="181"/>
      <c r="R46" s="181"/>
      <c r="S46" s="181"/>
    </row>
    <row r="47" spans="9:19" x14ac:dyDescent="0.3">
      <c r="I47" s="181"/>
      <c r="J47" s="181"/>
      <c r="K47" s="181"/>
      <c r="L47" s="187"/>
      <c r="M47" s="187"/>
      <c r="N47" s="187"/>
      <c r="O47" s="181"/>
      <c r="P47" s="181"/>
      <c r="Q47" s="181"/>
      <c r="R47" s="181"/>
      <c r="S47" s="181"/>
    </row>
    <row r="48" spans="9:19" x14ac:dyDescent="0.3">
      <c r="I48" s="181"/>
      <c r="J48" s="181"/>
      <c r="K48" s="181"/>
      <c r="L48" s="187"/>
      <c r="M48" s="187"/>
      <c r="N48" s="187"/>
      <c r="O48" s="181"/>
      <c r="P48" s="181"/>
      <c r="Q48" s="181"/>
      <c r="R48" s="181"/>
      <c r="S48" s="181"/>
    </row>
    <row r="49" spans="9:19" x14ac:dyDescent="0.3">
      <c r="I49" s="181"/>
      <c r="J49" s="181"/>
      <c r="K49" s="181"/>
      <c r="L49" s="187"/>
      <c r="M49" s="187"/>
      <c r="N49" s="187"/>
      <c r="O49" s="181"/>
      <c r="P49" s="181"/>
      <c r="Q49" s="181"/>
      <c r="R49" s="181"/>
      <c r="S49" s="181"/>
    </row>
  </sheetData>
  <sheetProtection algorithmName="SHA-512" hashValue="ga346jv0m7vYua8K9AxZSHtkWhKGg0e11QSw7m06M+R1TpRI7HAAUiEDO5ioWGv7NSRQGaEA5gRlOvGQeahjyg==" saltValue="P1QSERTONS4+++Fva50odA==" spinCount="100000" sheet="1" selectLockedCells="1"/>
  <mergeCells count="3">
    <mergeCell ref="I4:S4"/>
    <mergeCell ref="I5:S5"/>
    <mergeCell ref="I1:S1"/>
  </mergeCells>
  <hyperlinks>
    <hyperlink ref="L16" location="'Y2D Paeds OP'!A1" display="Paedeatric Services" xr:uid="{00000000-0004-0000-0000-000000000000}"/>
    <hyperlink ref="M16" location="'Y2D Adult OP'!A1" display="Adult Services " xr:uid="{00000000-0004-0000-0000-000001000000}"/>
    <hyperlink ref="N10" location="'Q2 Graphs'!A1" display="Graphs " xr:uid="{00000000-0004-0000-0000-000002000000}"/>
    <hyperlink ref="M10" location="'Q2 ADULTS'!A1" display="Adult Services" xr:uid="{00000000-0004-0000-0000-000003000000}"/>
    <hyperlink ref="L10" location="Q2_Paeds" display="Paediatric Services" xr:uid="{00000000-0004-0000-0000-000004000000}"/>
    <hyperlink ref="N9" location="'Q1 Graphs'!A1" display="Graphs " xr:uid="{00000000-0004-0000-0000-000005000000}"/>
    <hyperlink ref="M9" location="'Q1 ADULTS'!A1" display="Adult Services" xr:uid="{00000000-0004-0000-0000-000006000000}"/>
    <hyperlink ref="L9" location="'Q1 PAEDS'!A1" display="Paediatric Services" xr:uid="{00000000-0004-0000-0000-000007000000}"/>
    <hyperlink ref="L11" location="'Q3 PAEDS'!A1" display="Paediatric Services" xr:uid="{00000000-0004-0000-0000-000008000000}"/>
    <hyperlink ref="M11" location="'Q3 ADULTS'!A1" display="Adult Services" xr:uid="{00000000-0004-0000-0000-000009000000}"/>
    <hyperlink ref="N11" location="'Q3 Graphs'!A1" display="Graphs " xr:uid="{00000000-0004-0000-0000-00000A000000}"/>
    <hyperlink ref="L12" location="'Q4 PAEDS'!A1" display="Paediatric Services" xr:uid="{00000000-0004-0000-0000-00000B000000}"/>
    <hyperlink ref="M12" location="'Q4 ADULTS'!A1" display="Adult Services" xr:uid="{00000000-0004-0000-0000-00000C000000}"/>
    <hyperlink ref="N12" location="'Q4 Graphs'!A1" display="Graphs 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62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"/>
  <cols>
    <col min="1" max="1" width="4" style="33" customWidth="1"/>
    <col min="2" max="2" width="59.6640625" style="33" customWidth="1"/>
    <col min="3" max="3" width="11.6640625" style="33" customWidth="1"/>
    <col min="4" max="4" width="7.6640625" style="33" customWidth="1"/>
    <col min="5" max="5" width="10" style="33" customWidth="1"/>
    <col min="6" max="7" width="12" style="33" customWidth="1"/>
    <col min="8" max="8" width="5.109375" style="123" customWidth="1"/>
    <col min="9" max="9" width="6.88671875" style="33" customWidth="1"/>
    <col min="10" max="10" width="5.109375" style="123" customWidth="1"/>
    <col min="11" max="11" width="6.88671875" style="33" customWidth="1"/>
    <col min="12" max="12" width="5.109375" style="123" customWidth="1"/>
    <col min="13" max="13" width="6.88671875" style="33" customWidth="1"/>
    <col min="14" max="14" width="5.109375" style="123" customWidth="1"/>
    <col min="15" max="15" width="6.88671875" style="33" customWidth="1"/>
    <col min="16" max="16" width="11.5546875" style="33" customWidth="1"/>
    <col min="17" max="17" width="5.109375" style="123" customWidth="1"/>
    <col min="18" max="18" width="6.88671875" style="33" customWidth="1"/>
    <col min="19" max="19" width="5.109375" style="123" customWidth="1"/>
    <col min="20" max="20" width="6.88671875" style="33" customWidth="1"/>
    <col min="21" max="21" width="5.109375" style="123" customWidth="1"/>
    <col min="22" max="22" width="6.88671875" style="33" customWidth="1"/>
    <col min="23" max="23" width="5.109375" style="123" customWidth="1"/>
    <col min="24" max="24" width="6.88671875" style="33" customWidth="1"/>
    <col min="25" max="25" width="11.5546875" style="33" customWidth="1"/>
    <col min="26" max="27" width="10.6640625" style="33" customWidth="1"/>
    <col min="28" max="28" width="9.109375" style="33" customWidth="1"/>
    <col min="29" max="30" width="0" style="33" hidden="1" customWidth="1"/>
    <col min="31" max="16384" width="9.109375" style="33" hidden="1"/>
  </cols>
  <sheetData>
    <row r="1" spans="1:28" ht="35.25" customHeight="1" x14ac:dyDescent="0.3">
      <c r="A1" s="10"/>
      <c r="B1" s="97" t="s">
        <v>101</v>
      </c>
      <c r="C1" s="84"/>
      <c r="D1" s="84"/>
      <c r="E1" s="84"/>
      <c r="F1" s="84"/>
      <c r="G1" s="84"/>
      <c r="H1" s="117"/>
      <c r="I1" s="84"/>
      <c r="J1" s="117"/>
      <c r="K1" s="84"/>
      <c r="L1" s="117"/>
      <c r="M1" s="84"/>
      <c r="N1" s="117"/>
      <c r="O1" s="84"/>
      <c r="P1" s="84"/>
      <c r="Q1" s="117"/>
      <c r="R1" s="84"/>
      <c r="S1" s="117"/>
      <c r="T1" s="84"/>
      <c r="U1" s="117"/>
      <c r="V1" s="84"/>
      <c r="W1" s="117"/>
      <c r="X1" s="84"/>
      <c r="Y1" s="84"/>
      <c r="Z1" s="84"/>
      <c r="AA1" s="84"/>
      <c r="AB1" s="84"/>
    </row>
    <row r="2" spans="1:28" s="42" customFormat="1" ht="5.0999999999999996" customHeight="1" x14ac:dyDescent="0.3">
      <c r="B2" s="124"/>
      <c r="C2" s="125"/>
      <c r="D2" s="125"/>
      <c r="E2" s="125"/>
      <c r="F2" s="125"/>
      <c r="G2" s="125"/>
      <c r="H2" s="126"/>
      <c r="I2" s="125"/>
      <c r="J2" s="126"/>
      <c r="K2" s="125"/>
      <c r="L2" s="126"/>
      <c r="M2" s="125"/>
      <c r="N2" s="126"/>
      <c r="O2" s="125"/>
      <c r="P2" s="125"/>
      <c r="Q2" s="126"/>
      <c r="R2" s="125"/>
      <c r="S2" s="126"/>
      <c r="T2" s="125"/>
      <c r="U2" s="126"/>
      <c r="V2" s="125"/>
      <c r="W2" s="126"/>
      <c r="X2" s="125"/>
      <c r="Y2" s="125"/>
      <c r="AB2" s="125"/>
    </row>
    <row r="3" spans="1:28" s="93" customFormat="1" ht="31.5" customHeight="1" x14ac:dyDescent="0.35">
      <c r="B3" s="286" t="s">
        <v>95</v>
      </c>
      <c r="C3" s="94"/>
      <c r="D3" s="94"/>
      <c r="E3" s="94"/>
      <c r="F3" s="94"/>
      <c r="H3" s="118"/>
      <c r="I3" s="94"/>
      <c r="J3" s="118"/>
      <c r="K3" s="94"/>
      <c r="L3" s="118"/>
      <c r="M3" s="95"/>
      <c r="N3" s="118"/>
      <c r="O3" s="95"/>
      <c r="P3" s="95"/>
      <c r="Q3" s="118"/>
      <c r="R3" s="95"/>
      <c r="S3" s="118"/>
      <c r="T3" s="95"/>
      <c r="U3" s="118"/>
      <c r="V3" s="95"/>
      <c r="W3" s="118"/>
      <c r="X3" s="95"/>
      <c r="Y3" s="95"/>
      <c r="Z3" s="94"/>
      <c r="AA3" s="96"/>
    </row>
    <row r="4" spans="1:28" ht="35.4" customHeight="1" thickBot="1" x14ac:dyDescent="0.5">
      <c r="B4" s="128" t="s">
        <v>207</v>
      </c>
      <c r="C4" s="13"/>
      <c r="D4" s="13"/>
      <c r="E4" s="13"/>
      <c r="F4" s="43"/>
      <c r="G4" s="13"/>
      <c r="H4" s="119"/>
      <c r="I4" s="13"/>
      <c r="J4" s="119"/>
      <c r="K4" s="13"/>
      <c r="L4" s="119"/>
      <c r="M4" s="14"/>
      <c r="N4" s="119"/>
      <c r="O4" s="14"/>
      <c r="P4" s="14"/>
      <c r="Q4" s="119"/>
      <c r="R4" s="14"/>
      <c r="S4" s="119"/>
      <c r="T4" s="14"/>
      <c r="U4" s="119"/>
      <c r="V4" s="14"/>
      <c r="W4" s="119"/>
      <c r="X4" s="14"/>
      <c r="Y4" s="14"/>
      <c r="Z4" s="13"/>
      <c r="AA4" s="15"/>
    </row>
    <row r="5" spans="1:28" ht="30.75" customHeight="1" thickTop="1" thickBot="1" x14ac:dyDescent="0.35">
      <c r="B5" s="338" t="s">
        <v>14</v>
      </c>
      <c r="C5" s="339" t="s">
        <v>18</v>
      </c>
      <c r="D5" s="339" t="s">
        <v>65</v>
      </c>
      <c r="E5" s="339" t="s">
        <v>19</v>
      </c>
      <c r="F5" s="343" t="s">
        <v>24</v>
      </c>
      <c r="G5" s="344"/>
      <c r="H5" s="343" t="s">
        <v>27</v>
      </c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3" t="s">
        <v>3</v>
      </c>
      <c r="AA5" s="344"/>
    </row>
    <row r="6" spans="1:28" ht="44.1" customHeight="1" thickTop="1" thickBot="1" x14ac:dyDescent="0.35">
      <c r="B6" s="338"/>
      <c r="C6" s="340"/>
      <c r="D6" s="340"/>
      <c r="E6" s="340"/>
      <c r="F6" s="345" t="s">
        <v>25</v>
      </c>
      <c r="G6" s="347" t="s">
        <v>26</v>
      </c>
      <c r="H6" s="343" t="s">
        <v>32</v>
      </c>
      <c r="I6" s="349"/>
      <c r="J6" s="349"/>
      <c r="K6" s="349"/>
      <c r="L6" s="349"/>
      <c r="M6" s="349"/>
      <c r="N6" s="349"/>
      <c r="O6" s="349"/>
      <c r="P6" s="349"/>
      <c r="Q6" s="343" t="s">
        <v>31</v>
      </c>
      <c r="R6" s="349"/>
      <c r="S6" s="349"/>
      <c r="T6" s="349"/>
      <c r="U6" s="349"/>
      <c r="V6" s="349"/>
      <c r="W6" s="349"/>
      <c r="X6" s="349"/>
      <c r="Y6" s="349"/>
      <c r="Z6" s="345" t="s">
        <v>9</v>
      </c>
      <c r="AA6" s="347" t="s">
        <v>17</v>
      </c>
    </row>
    <row r="7" spans="1:28" ht="51.75" customHeight="1" thickTop="1" thickBot="1" x14ac:dyDescent="0.35">
      <c r="B7" s="338"/>
      <c r="C7" s="341"/>
      <c r="D7" s="341"/>
      <c r="E7" s="341"/>
      <c r="F7" s="346"/>
      <c r="G7" s="348"/>
      <c r="H7" s="350" t="s">
        <v>117</v>
      </c>
      <c r="I7" s="351"/>
      <c r="J7" s="318" t="s">
        <v>28</v>
      </c>
      <c r="K7" s="318"/>
      <c r="L7" s="318" t="s">
        <v>29</v>
      </c>
      <c r="M7" s="318"/>
      <c r="N7" s="317" t="s">
        <v>30</v>
      </c>
      <c r="O7" s="318"/>
      <c r="P7" s="235" t="s">
        <v>118</v>
      </c>
      <c r="Q7" s="350" t="s">
        <v>117</v>
      </c>
      <c r="R7" s="351"/>
      <c r="S7" s="318" t="s">
        <v>28</v>
      </c>
      <c r="T7" s="318"/>
      <c r="U7" s="318" t="s">
        <v>29</v>
      </c>
      <c r="V7" s="318"/>
      <c r="W7" s="317" t="s">
        <v>30</v>
      </c>
      <c r="X7" s="318"/>
      <c r="Y7" s="235" t="s">
        <v>118</v>
      </c>
      <c r="Z7" s="346"/>
      <c r="AA7" s="348"/>
    </row>
    <row r="8" spans="1:28" s="83" customFormat="1" ht="21.75" customHeight="1" thickTop="1" thickBot="1" x14ac:dyDescent="0.35">
      <c r="B8" s="27" t="s">
        <v>208</v>
      </c>
      <c r="C8" s="27" t="s">
        <v>23</v>
      </c>
      <c r="D8" s="59">
        <v>1</v>
      </c>
      <c r="E8" s="27" t="s">
        <v>21</v>
      </c>
      <c r="F8" s="216">
        <f>INDEX(Q3_Paeds,15,7)</f>
        <v>62</v>
      </c>
      <c r="G8" s="216">
        <f>INDEX(Q3_Paeds,15,8)</f>
        <v>0</v>
      </c>
      <c r="H8" s="202">
        <f>INDEX(Q3_Paeds,15,9)</f>
        <v>242</v>
      </c>
      <c r="I8" s="203">
        <f>IFERROR(H8/P8,0)</f>
        <v>0.22120658135283364</v>
      </c>
      <c r="J8" s="204">
        <f>INDEX(Q3_Paeds,15,10)</f>
        <v>331</v>
      </c>
      <c r="K8" s="203">
        <f>IFERROR(J8/P8,0)</f>
        <v>0.30255941499085925</v>
      </c>
      <c r="L8" s="204">
        <f>INDEX(Q3_Paeds,15,11)</f>
        <v>281</v>
      </c>
      <c r="M8" s="203">
        <f>IFERROR(L8/P8,0)</f>
        <v>0.25685557586837293</v>
      </c>
      <c r="N8" s="204">
        <f>INDEX(Q3_Paeds,15,12)</f>
        <v>240</v>
      </c>
      <c r="O8" s="203">
        <f>IFERROR(N8/P8,0)</f>
        <v>0.21937842778793418</v>
      </c>
      <c r="P8" s="205">
        <f>INDEX(Q3_Paeds,15,13)</f>
        <v>1094</v>
      </c>
      <c r="Q8" s="202">
        <f>INDEX(Q3_Paeds,15,15)</f>
        <v>0</v>
      </c>
      <c r="R8" s="203">
        <f>IFERROR(Q8/Y8,0)</f>
        <v>0</v>
      </c>
      <c r="S8" s="204">
        <f>INDEX(Q3_Paeds,15,16)</f>
        <v>0</v>
      </c>
      <c r="T8" s="203">
        <f>IFERROR(S8/Y8,0)</f>
        <v>0</v>
      </c>
      <c r="U8" s="206">
        <f>INDEX(Q3_Paeds,15,17)</f>
        <v>0</v>
      </c>
      <c r="V8" s="203">
        <f>IFERROR(U8/Y8,0)</f>
        <v>0</v>
      </c>
      <c r="W8" s="204">
        <f>INDEX(Q3_Paeds,15,18)</f>
        <v>0</v>
      </c>
      <c r="X8" s="203">
        <f>IFERROR(W8/Y8,0)</f>
        <v>0</v>
      </c>
      <c r="Y8" s="205">
        <f>INDEX(Q3_Paeds,15,19)</f>
        <v>0</v>
      </c>
      <c r="Z8" s="217">
        <f>INDEX(Q3_Paeds,15,21)</f>
        <v>7.0000000000000007E-2</v>
      </c>
      <c r="AA8" s="218">
        <f>INDEX(Q3_Paeds,15,22)</f>
        <v>0</v>
      </c>
    </row>
    <row r="9" spans="1:28" s="8" customFormat="1" ht="21.75" customHeight="1" thickTop="1" thickBot="1" x14ac:dyDescent="0.35">
      <c r="B9" s="28" t="s">
        <v>158</v>
      </c>
      <c r="C9" s="28" t="s">
        <v>23</v>
      </c>
      <c r="D9" s="60">
        <v>2</v>
      </c>
      <c r="E9" s="28" t="s">
        <v>22</v>
      </c>
      <c r="F9" s="219">
        <f>INDEX(Q3_Paeds,6,7)</f>
        <v>36</v>
      </c>
      <c r="G9" s="220">
        <f>INDEX(Q3_Paeds,6,8)</f>
        <v>0</v>
      </c>
      <c r="H9" s="207">
        <f>INDEX(Q3_Paeds,6,9)</f>
        <v>154</v>
      </c>
      <c r="I9" s="208">
        <f>IFERROR(H9/P9,0)</f>
        <v>0.21478382147838215</v>
      </c>
      <c r="J9" s="209">
        <f>INDEX(Q3_Paeds,6,10)</f>
        <v>117</v>
      </c>
      <c r="K9" s="208">
        <f>IFERROR(J9/P9,0)</f>
        <v>0.16317991631799164</v>
      </c>
      <c r="L9" s="209">
        <f>INDEX(Q3_Paeds,6,11)</f>
        <v>217</v>
      </c>
      <c r="M9" s="208">
        <f>IFERROR(L9/P9,0)</f>
        <v>0.30264993026499304</v>
      </c>
      <c r="N9" s="209">
        <f>INDEX(Q3_Paeds,6,12)</f>
        <v>229</v>
      </c>
      <c r="O9" s="208">
        <f>IFERROR(N9/P9,0)</f>
        <v>0.31938633193863319</v>
      </c>
      <c r="P9" s="210">
        <f>INDEX(Q3_Paeds,6,13)</f>
        <v>717</v>
      </c>
      <c r="Q9" s="211">
        <f>INDEX(Q3_Paeds,6,15)</f>
        <v>0</v>
      </c>
      <c r="R9" s="208">
        <f>IFERROR(Q9/Y9,0)</f>
        <v>0</v>
      </c>
      <c r="S9" s="209">
        <f>INDEX(Q3_Paeds,6,16)</f>
        <v>0</v>
      </c>
      <c r="T9" s="208">
        <f>IFERROR(S9/Y9,0)</f>
        <v>0</v>
      </c>
      <c r="U9" s="212">
        <f>INDEX(Q3_Paeds,6,17)</f>
        <v>0</v>
      </c>
      <c r="V9" s="208">
        <f>IFERROR(U9/Y9,0)</f>
        <v>0</v>
      </c>
      <c r="W9" s="209">
        <f>INDEX(Q3_Paeds,6,18)</f>
        <v>0</v>
      </c>
      <c r="X9" s="208">
        <f>IFERROR(W9/Y9,0)</f>
        <v>0</v>
      </c>
      <c r="Y9" s="210">
        <f>INDEX(Q3_Paeds,6,19)</f>
        <v>0</v>
      </c>
      <c r="Z9" s="221">
        <f>INDEX(Q3_Paeds,6,21)</f>
        <v>0.08</v>
      </c>
      <c r="AA9" s="222">
        <f>INDEX(Q3_Paeds,6,22)</f>
        <v>0</v>
      </c>
    </row>
    <row r="10" spans="1:28" s="8" customFormat="1" ht="21.75" customHeight="1" thickTop="1" thickBot="1" x14ac:dyDescent="0.35">
      <c r="B10" s="25" t="s">
        <v>157</v>
      </c>
      <c r="C10" s="25" t="s">
        <v>23</v>
      </c>
      <c r="D10" s="57">
        <v>3</v>
      </c>
      <c r="E10" s="25" t="s">
        <v>22</v>
      </c>
      <c r="F10" s="216">
        <f>INDEX(Q3_Paeds,5,7)</f>
        <v>28</v>
      </c>
      <c r="G10" s="223">
        <f>INDEX(Q3_Paeds,5,8)</f>
        <v>13</v>
      </c>
      <c r="H10" s="213">
        <f>INDEX(Q3_Paeds,5,9)</f>
        <v>41</v>
      </c>
      <c r="I10" s="203">
        <f>IFERROR(H10/P10,0)</f>
        <v>0.28671328671328672</v>
      </c>
      <c r="J10" s="204">
        <f>INDEX(Q3_Paeds,5,10)</f>
        <v>20</v>
      </c>
      <c r="K10" s="203">
        <f>IFERROR(J10/P10,0)</f>
        <v>0.13986013986013987</v>
      </c>
      <c r="L10" s="204">
        <f>INDEX(Q3_Paeds,5,11)</f>
        <v>40</v>
      </c>
      <c r="M10" s="203">
        <f>IFERROR(L10/P10,0)</f>
        <v>0.27972027972027974</v>
      </c>
      <c r="N10" s="204">
        <f>INDEX(Q3_Paeds,5,12)</f>
        <v>42</v>
      </c>
      <c r="O10" s="203">
        <f>IFERROR(N10/P10,0)</f>
        <v>0.2937062937062937</v>
      </c>
      <c r="P10" s="205">
        <f>INDEX(Q3_Paeds,5,13)</f>
        <v>143</v>
      </c>
      <c r="Q10" s="202">
        <f>INDEX(Q3_Paeds,5,15)</f>
        <v>64</v>
      </c>
      <c r="R10" s="203">
        <f>IFERROR(Q10/Y10,0)</f>
        <v>0.22068965517241379</v>
      </c>
      <c r="S10" s="204">
        <f>INDEX(Q3_Paeds,5,16)</f>
        <v>39</v>
      </c>
      <c r="T10" s="203">
        <f>IFERROR(S10/Y10,0)</f>
        <v>0.13448275862068965</v>
      </c>
      <c r="U10" s="206">
        <f>INDEX(Q3_Paeds,5,17)</f>
        <v>89</v>
      </c>
      <c r="V10" s="203">
        <f>IFERROR(U10/Y10,0)</f>
        <v>0.30689655172413793</v>
      </c>
      <c r="W10" s="204">
        <f>INDEX(Q3_Paeds,5,18)</f>
        <v>98</v>
      </c>
      <c r="X10" s="203">
        <f>IFERROR(W10/Y10,0)</f>
        <v>0.33793103448275863</v>
      </c>
      <c r="Y10" s="205">
        <f>INDEX(Q3_Paeds,5,19)</f>
        <v>290</v>
      </c>
      <c r="Z10" s="217">
        <f>INDEX(Q3_Paeds,5,21)</f>
        <v>7.0000000000000007E-2</v>
      </c>
      <c r="AA10" s="218">
        <f>INDEX(Q3_Paeds,5,22)</f>
        <v>0.04</v>
      </c>
    </row>
    <row r="11" spans="1:28" s="8" customFormat="1" ht="21.75" customHeight="1" thickTop="1" thickBot="1" x14ac:dyDescent="0.35">
      <c r="B11" s="29" t="s">
        <v>159</v>
      </c>
      <c r="C11" s="29" t="s">
        <v>23</v>
      </c>
      <c r="D11" s="61">
        <v>3</v>
      </c>
      <c r="E11" s="29" t="s">
        <v>22</v>
      </c>
      <c r="F11" s="219">
        <f>INDEX(Q3_Paeds,7,7)</f>
        <v>6</v>
      </c>
      <c r="G11" s="220">
        <f>INDEX(Q3_Paeds,7,8)</f>
        <v>8</v>
      </c>
      <c r="H11" s="207">
        <f>INDEX(Q3_Paeds,7,9)</f>
        <v>20</v>
      </c>
      <c r="I11" s="208">
        <f t="shared" ref="I11:I25" si="0">IFERROR(H11/P11,0)</f>
        <v>1</v>
      </c>
      <c r="J11" s="209">
        <f>INDEX(Q3_Paeds,7,10)</f>
        <v>0</v>
      </c>
      <c r="K11" s="208">
        <f t="shared" ref="K11:K25" si="1">IFERROR(J11/P11,0)</f>
        <v>0</v>
      </c>
      <c r="L11" s="209">
        <f>INDEX(Q3_Paeds,7,11)</f>
        <v>0</v>
      </c>
      <c r="M11" s="208">
        <f t="shared" ref="M11:M25" si="2">IFERROR(L11/P11,0)</f>
        <v>0</v>
      </c>
      <c r="N11" s="209">
        <f>INDEX(Q3_Paeds,7,12)</f>
        <v>0</v>
      </c>
      <c r="O11" s="208">
        <f t="shared" ref="O11:O25" si="3">IFERROR(N11/P11,0)</f>
        <v>0</v>
      </c>
      <c r="P11" s="210">
        <f>INDEX(Q3_Paeds,7,13)</f>
        <v>20</v>
      </c>
      <c r="Q11" s="211">
        <f>INDEX(Q3_Paeds,7,15)</f>
        <v>0</v>
      </c>
      <c r="R11" s="208">
        <f t="shared" ref="R11:R25" si="4">IFERROR(Q11/Y11,0)</f>
        <v>0</v>
      </c>
      <c r="S11" s="209">
        <f>INDEX(Q3_Paeds,7,16)</f>
        <v>76</v>
      </c>
      <c r="T11" s="208">
        <f t="shared" ref="T11:T25" si="5">IFERROR(S11/Y11,0)</f>
        <v>0.27142857142857141</v>
      </c>
      <c r="U11" s="212">
        <f>INDEX(Q3_Paeds,7,17)</f>
        <v>121</v>
      </c>
      <c r="V11" s="208">
        <f t="shared" ref="V11:V25" si="6">IFERROR(U11/Y11,0)</f>
        <v>0.43214285714285716</v>
      </c>
      <c r="W11" s="209">
        <f>INDEX(Q3_Paeds,7,18)</f>
        <v>83</v>
      </c>
      <c r="X11" s="208">
        <f t="shared" ref="X11:X25" si="7">IFERROR(W11/Y11,0)</f>
        <v>0.29642857142857143</v>
      </c>
      <c r="Y11" s="210">
        <f>INDEX(Q3_Paeds,7,19)</f>
        <v>280</v>
      </c>
      <c r="Z11" s="221">
        <f>INDEX(Q3_Paeds,7,21)</f>
        <v>0.18</v>
      </c>
      <c r="AA11" s="222">
        <f>INDEX(Q3_Paeds,7,22)</f>
        <v>0.05</v>
      </c>
    </row>
    <row r="12" spans="1:28" s="8" customFormat="1" ht="21.75" customHeight="1" thickTop="1" thickBot="1" x14ac:dyDescent="0.35">
      <c r="B12" s="27" t="s">
        <v>160</v>
      </c>
      <c r="C12" s="27" t="s">
        <v>23</v>
      </c>
      <c r="D12" s="59">
        <v>3</v>
      </c>
      <c r="E12" s="27" t="s">
        <v>22</v>
      </c>
      <c r="F12" s="216">
        <f>INDEX(Q3_Paeds,8,7)</f>
        <v>15.45</v>
      </c>
      <c r="G12" s="223">
        <f>INDEX(Q3_Paeds,8,8)</f>
        <v>4.75</v>
      </c>
      <c r="H12" s="213">
        <f>INDEX(Q3_Paeds,8,9)</f>
        <v>2</v>
      </c>
      <c r="I12" s="203">
        <f t="shared" si="0"/>
        <v>0.66666666666666663</v>
      </c>
      <c r="J12" s="204">
        <f>INDEX(Q3_Paeds,8,10)</f>
        <v>1</v>
      </c>
      <c r="K12" s="203">
        <f t="shared" si="1"/>
        <v>0.33333333333333331</v>
      </c>
      <c r="L12" s="204">
        <f>INDEX(Q3_Paeds,8,11)</f>
        <v>0</v>
      </c>
      <c r="M12" s="203">
        <f t="shared" si="2"/>
        <v>0</v>
      </c>
      <c r="N12" s="204">
        <f>INDEX(Q3_Paeds,8,12)</f>
        <v>0</v>
      </c>
      <c r="O12" s="203">
        <f t="shared" si="3"/>
        <v>0</v>
      </c>
      <c r="P12" s="205">
        <f>INDEX(Q3_Paeds,8,13)</f>
        <v>3</v>
      </c>
      <c r="Q12" s="202">
        <f>INDEX(Q3_Paeds,8,15)</f>
        <v>1</v>
      </c>
      <c r="R12" s="203">
        <f t="shared" si="4"/>
        <v>0.1111111111111111</v>
      </c>
      <c r="S12" s="204">
        <f>INDEX(Q3_Paeds,8,16)</f>
        <v>3</v>
      </c>
      <c r="T12" s="203">
        <f t="shared" si="5"/>
        <v>0.33333333333333331</v>
      </c>
      <c r="U12" s="206">
        <f>INDEX(Q3_Paeds,8,17)</f>
        <v>1</v>
      </c>
      <c r="V12" s="203">
        <f t="shared" si="6"/>
        <v>0.1111111111111111</v>
      </c>
      <c r="W12" s="204">
        <f>INDEX(Q3_Paeds,8,18)</f>
        <v>4</v>
      </c>
      <c r="X12" s="203">
        <f t="shared" si="7"/>
        <v>0.44444444444444442</v>
      </c>
      <c r="Y12" s="205">
        <f>INDEX(Q3_Paeds,8,19)</f>
        <v>9</v>
      </c>
      <c r="Z12" s="217">
        <f>INDEX(Q3_Paeds,8,21)</f>
        <v>0.19</v>
      </c>
      <c r="AA12" s="218">
        <f>INDEX(Q3_Paeds,8,22)</f>
        <v>0.42</v>
      </c>
    </row>
    <row r="13" spans="1:28" s="8" customFormat="1" ht="21.75" customHeight="1" thickTop="1" thickBot="1" x14ac:dyDescent="0.35">
      <c r="B13" s="28" t="s">
        <v>161</v>
      </c>
      <c r="C13" s="28" t="s">
        <v>23</v>
      </c>
      <c r="D13" s="60">
        <v>3</v>
      </c>
      <c r="E13" s="28" t="s">
        <v>22</v>
      </c>
      <c r="F13" s="219">
        <f>INDEX(Q3_Paeds,9,7)</f>
        <v>12</v>
      </c>
      <c r="G13" s="220">
        <f>INDEX(Q3_Paeds,9,8)</f>
        <v>17</v>
      </c>
      <c r="H13" s="207">
        <f>INDEX(Q3_Paeds,9,9)</f>
        <v>1</v>
      </c>
      <c r="I13" s="208">
        <f t="shared" si="0"/>
        <v>0.125</v>
      </c>
      <c r="J13" s="209">
        <f>INDEX(Q3_Paeds,9,10)</f>
        <v>2</v>
      </c>
      <c r="K13" s="208">
        <f t="shared" si="1"/>
        <v>0.25</v>
      </c>
      <c r="L13" s="209">
        <f>INDEX(Q3_Paeds,9,11)</f>
        <v>5</v>
      </c>
      <c r="M13" s="208">
        <f t="shared" si="2"/>
        <v>0.625</v>
      </c>
      <c r="N13" s="209">
        <f>INDEX(Q3_Paeds,9,12)</f>
        <v>0</v>
      </c>
      <c r="O13" s="208">
        <f t="shared" si="3"/>
        <v>0</v>
      </c>
      <c r="P13" s="210">
        <f>INDEX(Q3_Paeds,9,13)</f>
        <v>8</v>
      </c>
      <c r="Q13" s="211">
        <f>INDEX(Q3_Paeds,9,15)</f>
        <v>2</v>
      </c>
      <c r="R13" s="208">
        <f t="shared" si="4"/>
        <v>0.5</v>
      </c>
      <c r="S13" s="209">
        <f>INDEX(Q3_Paeds,9,16)</f>
        <v>0</v>
      </c>
      <c r="T13" s="208">
        <f t="shared" si="5"/>
        <v>0</v>
      </c>
      <c r="U13" s="212">
        <f>INDEX(Q3_Paeds,9,17)</f>
        <v>0</v>
      </c>
      <c r="V13" s="208">
        <f t="shared" si="6"/>
        <v>0</v>
      </c>
      <c r="W13" s="209">
        <f>INDEX(Q3_Paeds,9,18)</f>
        <v>2</v>
      </c>
      <c r="X13" s="208">
        <f t="shared" si="7"/>
        <v>0.5</v>
      </c>
      <c r="Y13" s="210">
        <f>INDEX(Q3_Paeds,9,19)</f>
        <v>4</v>
      </c>
      <c r="Z13" s="221">
        <f>INDEX(Q3_Paeds,9,21)</f>
        <v>0.19</v>
      </c>
      <c r="AA13" s="222">
        <f>INDEX(Q3_Paeds,9,22)</f>
        <v>0.39</v>
      </c>
    </row>
    <row r="14" spans="1:28" s="8" customFormat="1" ht="21.75" customHeight="1" thickTop="1" thickBot="1" x14ac:dyDescent="0.35">
      <c r="B14" s="27" t="s">
        <v>165</v>
      </c>
      <c r="C14" s="27" t="s">
        <v>23</v>
      </c>
      <c r="D14" s="59">
        <v>3</v>
      </c>
      <c r="E14" s="27" t="s">
        <v>22</v>
      </c>
      <c r="F14" s="216" t="str">
        <f>INDEX(Q3_Paeds,10,7)</f>
        <v>No data</v>
      </c>
      <c r="G14" s="223" t="str">
        <f>INDEX(Q3_Paeds,10,8)</f>
        <v>No data</v>
      </c>
      <c r="H14" s="213" t="str">
        <f>INDEX(Q3_Paeds,10,9)</f>
        <v>No data</v>
      </c>
      <c r="I14" s="203">
        <f t="shared" si="0"/>
        <v>0</v>
      </c>
      <c r="J14" s="204" t="str">
        <f>INDEX(Q3_Paeds,10,10)</f>
        <v>No data</v>
      </c>
      <c r="K14" s="203">
        <f t="shared" si="1"/>
        <v>0</v>
      </c>
      <c r="L14" s="204" t="str">
        <f>INDEX(Q3_Paeds,10,11)</f>
        <v>No data</v>
      </c>
      <c r="M14" s="203">
        <f t="shared" si="2"/>
        <v>0</v>
      </c>
      <c r="N14" s="204" t="str">
        <f>INDEX(Q3_Paeds,10,12)</f>
        <v>No data</v>
      </c>
      <c r="O14" s="203">
        <f t="shared" si="3"/>
        <v>0</v>
      </c>
      <c r="P14" s="205" t="str">
        <f>INDEX(Q3_Paeds,10,13)</f>
        <v>No data</v>
      </c>
      <c r="Q14" s="202" t="str">
        <f>INDEX(Q3_Paeds,10,15)</f>
        <v>No data</v>
      </c>
      <c r="R14" s="203">
        <f t="shared" si="4"/>
        <v>0</v>
      </c>
      <c r="S14" s="204" t="str">
        <f>INDEX(Q3_Paeds,10,16)</f>
        <v>No data</v>
      </c>
      <c r="T14" s="203">
        <f t="shared" si="5"/>
        <v>0</v>
      </c>
      <c r="U14" s="206" t="str">
        <f>INDEX(Q3_Paeds,10,17)</f>
        <v>No data</v>
      </c>
      <c r="V14" s="203">
        <f t="shared" si="6"/>
        <v>0</v>
      </c>
      <c r="W14" s="204" t="str">
        <f>INDEX(Q3_Paeds,10,18)</f>
        <v>No data</v>
      </c>
      <c r="X14" s="203">
        <f t="shared" si="7"/>
        <v>0</v>
      </c>
      <c r="Y14" s="205" t="str">
        <f>INDEX(Q3_Paeds,10,19)</f>
        <v>No data</v>
      </c>
      <c r="Z14" s="217" t="str">
        <f>INDEX(Q3_Paeds,10,21)</f>
        <v>No data</v>
      </c>
      <c r="AA14" s="218" t="str">
        <f>INDEX(Q3_Paeds,10,22)</f>
        <v>No data</v>
      </c>
    </row>
    <row r="15" spans="1:28" s="8" customFormat="1" ht="21.75" customHeight="1" thickTop="1" thickBot="1" x14ac:dyDescent="0.35">
      <c r="B15" s="28" t="s">
        <v>166</v>
      </c>
      <c r="C15" s="28" t="s">
        <v>23</v>
      </c>
      <c r="D15" s="60">
        <v>3</v>
      </c>
      <c r="E15" s="28" t="s">
        <v>22</v>
      </c>
      <c r="F15" s="219">
        <f>INDEX(Q3_Paeds,11,7)</f>
        <v>18</v>
      </c>
      <c r="G15" s="220">
        <f>INDEX(Q3_Paeds,11,8)</f>
        <v>32</v>
      </c>
      <c r="H15" s="207">
        <f>INDEX(Q3_Paeds,11,9)</f>
        <v>2</v>
      </c>
      <c r="I15" s="208">
        <f t="shared" si="0"/>
        <v>0.66666666666666663</v>
      </c>
      <c r="J15" s="209">
        <f>INDEX(Q3_Paeds,11,10)</f>
        <v>1</v>
      </c>
      <c r="K15" s="208">
        <f t="shared" si="1"/>
        <v>0.33333333333333331</v>
      </c>
      <c r="L15" s="209">
        <f>INDEX(Q3_Paeds,11,11)</f>
        <v>0</v>
      </c>
      <c r="M15" s="208">
        <f t="shared" si="2"/>
        <v>0</v>
      </c>
      <c r="N15" s="209">
        <f>INDEX(Q3_Paeds,11,12)</f>
        <v>0</v>
      </c>
      <c r="O15" s="208">
        <f t="shared" si="3"/>
        <v>0</v>
      </c>
      <c r="P15" s="210">
        <f>INDEX(Q3_Paeds,11,13)</f>
        <v>3</v>
      </c>
      <c r="Q15" s="211">
        <f>INDEX(Q3_Paeds,11,15)</f>
        <v>14</v>
      </c>
      <c r="R15" s="208">
        <f t="shared" si="4"/>
        <v>0.46666666666666667</v>
      </c>
      <c r="S15" s="209">
        <f>INDEX(Q3_Paeds,11,16)</f>
        <v>12</v>
      </c>
      <c r="T15" s="208">
        <f t="shared" si="5"/>
        <v>0.4</v>
      </c>
      <c r="U15" s="212">
        <f>INDEX(Q3_Paeds,11,17)</f>
        <v>4</v>
      </c>
      <c r="V15" s="208">
        <f t="shared" si="6"/>
        <v>0.13333333333333333</v>
      </c>
      <c r="W15" s="209">
        <f>INDEX(Q3_Paeds,11,18)</f>
        <v>0</v>
      </c>
      <c r="X15" s="208">
        <f t="shared" si="7"/>
        <v>0</v>
      </c>
      <c r="Y15" s="210">
        <f>INDEX(Q3_Paeds,11,19)</f>
        <v>30</v>
      </c>
      <c r="Z15" s="221">
        <f>INDEX(Q3_Paeds,11,21)</f>
        <v>0</v>
      </c>
      <c r="AA15" s="222">
        <f>INDEX(Q3_Paeds,11,22)</f>
        <v>0</v>
      </c>
    </row>
    <row r="16" spans="1:28" s="8" customFormat="1" ht="21.75" customHeight="1" thickTop="1" thickBot="1" x14ac:dyDescent="0.35">
      <c r="B16" s="30" t="s">
        <v>162</v>
      </c>
      <c r="C16" s="30" t="s">
        <v>23</v>
      </c>
      <c r="D16" s="62">
        <v>3</v>
      </c>
      <c r="E16" s="30" t="s">
        <v>22</v>
      </c>
      <c r="F16" s="216">
        <f>INDEX(Q3_Paeds,12,7)</f>
        <v>11.13</v>
      </c>
      <c r="G16" s="223">
        <f>INDEX(Q3_Paeds,12,8)</f>
        <v>5.2</v>
      </c>
      <c r="H16" s="213">
        <f>INDEX(Q3_Paeds,12,9)</f>
        <v>23</v>
      </c>
      <c r="I16" s="203">
        <f t="shared" si="0"/>
        <v>0.65714285714285714</v>
      </c>
      <c r="J16" s="204">
        <f>INDEX(Q3_Paeds,12,10)</f>
        <v>12</v>
      </c>
      <c r="K16" s="203">
        <f t="shared" si="1"/>
        <v>0.34285714285714286</v>
      </c>
      <c r="L16" s="204">
        <f>INDEX(Q3_Paeds,12,11)</f>
        <v>0</v>
      </c>
      <c r="M16" s="203">
        <f t="shared" si="2"/>
        <v>0</v>
      </c>
      <c r="N16" s="204">
        <f>INDEX(Q3_Paeds,12,12)</f>
        <v>0</v>
      </c>
      <c r="O16" s="203">
        <f t="shared" si="3"/>
        <v>0</v>
      </c>
      <c r="P16" s="205">
        <f>INDEX(Q3_Paeds,12,13)</f>
        <v>35</v>
      </c>
      <c r="Q16" s="202">
        <f>INDEX(Q3_Paeds,12,15)</f>
        <v>18</v>
      </c>
      <c r="R16" s="203">
        <f t="shared" si="4"/>
        <v>0.27692307692307694</v>
      </c>
      <c r="S16" s="204">
        <f>INDEX(Q3_Paeds,12,16)</f>
        <v>28</v>
      </c>
      <c r="T16" s="203">
        <f t="shared" si="5"/>
        <v>0.43076923076923079</v>
      </c>
      <c r="U16" s="206">
        <f>INDEX(Q3_Paeds,12,17)</f>
        <v>19</v>
      </c>
      <c r="V16" s="203">
        <f t="shared" si="6"/>
        <v>0.29230769230769232</v>
      </c>
      <c r="W16" s="204">
        <f>INDEX(Q3_Paeds,12,18)</f>
        <v>0</v>
      </c>
      <c r="X16" s="203">
        <f t="shared" si="7"/>
        <v>0</v>
      </c>
      <c r="Y16" s="205">
        <f>INDEX(Q3_Paeds,12,19)</f>
        <v>65</v>
      </c>
      <c r="Z16" s="217">
        <f>INDEX(Q3_Paeds,12,21)</f>
        <v>0.04</v>
      </c>
      <c r="AA16" s="218">
        <f>INDEX(Q3_Paeds,12,22)</f>
        <v>0</v>
      </c>
    </row>
    <row r="17" spans="2:27" s="8" customFormat="1" ht="21.75" customHeight="1" thickTop="1" thickBot="1" x14ac:dyDescent="0.35">
      <c r="B17" s="28" t="s">
        <v>58</v>
      </c>
      <c r="C17" s="28" t="s">
        <v>23</v>
      </c>
      <c r="D17" s="60">
        <v>3</v>
      </c>
      <c r="E17" s="28" t="s">
        <v>21</v>
      </c>
      <c r="F17" s="219" t="str">
        <f>INDEX(Q3_Paeds,13,7)</f>
        <v>No data</v>
      </c>
      <c r="G17" s="220" t="str">
        <f>INDEX(Q3_Paeds,13,8)</f>
        <v>No data</v>
      </c>
      <c r="H17" s="207" t="str">
        <f>INDEX(Q3_Paeds,13,9)</f>
        <v>No data</v>
      </c>
      <c r="I17" s="208">
        <f t="shared" si="0"/>
        <v>0</v>
      </c>
      <c r="J17" s="209" t="str">
        <f>INDEX(Q3_Paeds,13,10)</f>
        <v>No data</v>
      </c>
      <c r="K17" s="208">
        <f t="shared" si="1"/>
        <v>0</v>
      </c>
      <c r="L17" s="209" t="str">
        <f>INDEX(Q3_Paeds,13,11)</f>
        <v>No data</v>
      </c>
      <c r="M17" s="208">
        <f t="shared" si="2"/>
        <v>0</v>
      </c>
      <c r="N17" s="209" t="str">
        <f>INDEX(Q3_Paeds,13,12)</f>
        <v>No data</v>
      </c>
      <c r="O17" s="208">
        <f t="shared" si="3"/>
        <v>0</v>
      </c>
      <c r="P17" s="210" t="str">
        <f>INDEX(Q3_Paeds,13,13)</f>
        <v>No data</v>
      </c>
      <c r="Q17" s="211" t="str">
        <f>INDEX(Q3_Paeds,13,15)</f>
        <v>No data</v>
      </c>
      <c r="R17" s="208">
        <f t="shared" si="4"/>
        <v>0</v>
      </c>
      <c r="S17" s="209" t="str">
        <f>INDEX(Q3_Paeds,13,16)</f>
        <v>No data</v>
      </c>
      <c r="T17" s="208">
        <f t="shared" si="5"/>
        <v>0</v>
      </c>
      <c r="U17" s="212" t="str">
        <f>INDEX(Q3_Paeds,13,17)</f>
        <v>No data</v>
      </c>
      <c r="V17" s="208">
        <f t="shared" si="6"/>
        <v>0</v>
      </c>
      <c r="W17" s="209" t="str">
        <f>INDEX(Q3_Paeds,13,18)</f>
        <v>No data</v>
      </c>
      <c r="X17" s="208">
        <f t="shared" si="7"/>
        <v>0</v>
      </c>
      <c r="Y17" s="210" t="str">
        <f>INDEX(Q3_Paeds,13,19)</f>
        <v>No data</v>
      </c>
      <c r="Z17" s="221" t="str">
        <f>INDEX(Q3_Paeds,13,21)</f>
        <v>No data</v>
      </c>
      <c r="AA17" s="222" t="str">
        <f>INDEX(Q3_Paeds,13,22)</f>
        <v>No data</v>
      </c>
    </row>
    <row r="18" spans="2:27" s="8" customFormat="1" ht="21.75" customHeight="1" thickTop="1" thickBot="1" x14ac:dyDescent="0.35">
      <c r="B18" s="27" t="s">
        <v>59</v>
      </c>
      <c r="C18" s="27" t="s">
        <v>23</v>
      </c>
      <c r="D18" s="59">
        <v>3</v>
      </c>
      <c r="E18" s="27" t="s">
        <v>21</v>
      </c>
      <c r="F18" s="216">
        <f>INDEX(Q3_Paeds,14,7)</f>
        <v>40</v>
      </c>
      <c r="G18" s="223">
        <f>INDEX(Q3_Paeds,14,8)</f>
        <v>6</v>
      </c>
      <c r="H18" s="213">
        <f>INDEX(Q3_Paeds,14,9)</f>
        <v>1</v>
      </c>
      <c r="I18" s="203">
        <f t="shared" si="0"/>
        <v>0.5</v>
      </c>
      <c r="J18" s="204">
        <f>INDEX(Q3_Paeds,14,10)</f>
        <v>0</v>
      </c>
      <c r="K18" s="203">
        <f t="shared" si="1"/>
        <v>0</v>
      </c>
      <c r="L18" s="204">
        <f>INDEX(Q3_Paeds,14,11)</f>
        <v>1</v>
      </c>
      <c r="M18" s="203">
        <f t="shared" si="2"/>
        <v>0.5</v>
      </c>
      <c r="N18" s="204">
        <f>INDEX(Q3_Paeds,14,12)</f>
        <v>0</v>
      </c>
      <c r="O18" s="203">
        <f t="shared" si="3"/>
        <v>0</v>
      </c>
      <c r="P18" s="205">
        <f>INDEX(Q3_Paeds,14,13)</f>
        <v>2</v>
      </c>
      <c r="Q18" s="202">
        <f>INDEX(Q3_Paeds,14,15)</f>
        <v>2</v>
      </c>
      <c r="R18" s="203">
        <f t="shared" si="4"/>
        <v>1</v>
      </c>
      <c r="S18" s="204">
        <f>INDEX(Q3_Paeds,14,16)</f>
        <v>0</v>
      </c>
      <c r="T18" s="203">
        <f t="shared" si="5"/>
        <v>0</v>
      </c>
      <c r="U18" s="206">
        <f>INDEX(Q3_Paeds,14,17)</f>
        <v>0</v>
      </c>
      <c r="V18" s="203">
        <f t="shared" si="6"/>
        <v>0</v>
      </c>
      <c r="W18" s="204">
        <f>INDEX(Q3_Paeds,14,18)</f>
        <v>0</v>
      </c>
      <c r="X18" s="203">
        <f t="shared" si="7"/>
        <v>0</v>
      </c>
      <c r="Y18" s="205">
        <f>INDEX(Q3_Paeds,14,19)</f>
        <v>2</v>
      </c>
      <c r="Z18" s="217">
        <f>INDEX(Q3_Paeds,14,21)</f>
        <v>0.08</v>
      </c>
      <c r="AA18" s="218">
        <f>INDEX(Q3_Paeds,14,22)</f>
        <v>0.08</v>
      </c>
    </row>
    <row r="19" spans="2:27" s="8" customFormat="1" ht="21.75" customHeight="1" thickTop="1" thickBot="1" x14ac:dyDescent="0.35">
      <c r="B19" s="28" t="s">
        <v>60</v>
      </c>
      <c r="C19" s="28" t="s">
        <v>23</v>
      </c>
      <c r="D19" s="60">
        <v>3</v>
      </c>
      <c r="E19" s="28" t="s">
        <v>21</v>
      </c>
      <c r="F19" s="219">
        <f>INDEX(Q3_Paeds,16,7)</f>
        <v>15</v>
      </c>
      <c r="G19" s="220">
        <f>INDEX(Q3_Paeds,16,8)</f>
        <v>4</v>
      </c>
      <c r="H19" s="207">
        <f>INDEX(Q3_Paeds,16,9)</f>
        <v>42</v>
      </c>
      <c r="I19" s="208">
        <f t="shared" si="0"/>
        <v>0.30656934306569344</v>
      </c>
      <c r="J19" s="209">
        <f>INDEX(Q3_Paeds,16,10)</f>
        <v>55</v>
      </c>
      <c r="K19" s="208">
        <f t="shared" si="1"/>
        <v>0.40145985401459855</v>
      </c>
      <c r="L19" s="209">
        <f>INDEX(Q3_Paeds,16,11)</f>
        <v>40</v>
      </c>
      <c r="M19" s="208">
        <f t="shared" si="2"/>
        <v>0.29197080291970801</v>
      </c>
      <c r="N19" s="209">
        <f>INDEX(Q3_Paeds,16,12)</f>
        <v>0</v>
      </c>
      <c r="O19" s="208">
        <f t="shared" si="3"/>
        <v>0</v>
      </c>
      <c r="P19" s="210">
        <f>INDEX(Q3_Paeds,16,13)</f>
        <v>137</v>
      </c>
      <c r="Q19" s="211">
        <f>INDEX(Q3_Paeds,16,15)</f>
        <v>25</v>
      </c>
      <c r="R19" s="208">
        <f t="shared" si="4"/>
        <v>0.20491803278688525</v>
      </c>
      <c r="S19" s="209">
        <f>INDEX(Q3_Paeds,16,16)</f>
        <v>34</v>
      </c>
      <c r="T19" s="208">
        <f t="shared" si="5"/>
        <v>0.27868852459016391</v>
      </c>
      <c r="U19" s="212">
        <f>INDEX(Q3_Paeds,16,17)</f>
        <v>53</v>
      </c>
      <c r="V19" s="208">
        <f t="shared" si="6"/>
        <v>0.4344262295081967</v>
      </c>
      <c r="W19" s="209">
        <f>INDEX(Q3_Paeds,16,18)</f>
        <v>10</v>
      </c>
      <c r="X19" s="208">
        <f t="shared" si="7"/>
        <v>8.1967213114754092E-2</v>
      </c>
      <c r="Y19" s="210">
        <f>INDEX(Q3_Paeds,16,19)</f>
        <v>122</v>
      </c>
      <c r="Z19" s="221">
        <f>INDEX(Q3_Paeds,16,21)</f>
        <v>0.05</v>
      </c>
      <c r="AA19" s="222">
        <f>INDEX(Q3_Paeds,16,22)</f>
        <v>0</v>
      </c>
    </row>
    <row r="20" spans="2:27" s="8" customFormat="1" ht="21.75" customHeight="1" thickTop="1" thickBot="1" x14ac:dyDescent="0.35">
      <c r="B20" s="27" t="s">
        <v>56</v>
      </c>
      <c r="C20" s="27" t="s">
        <v>23</v>
      </c>
      <c r="D20" s="59">
        <v>3</v>
      </c>
      <c r="E20" s="27" t="s">
        <v>21</v>
      </c>
      <c r="F20" s="216">
        <f>INDEX(Q3_Paeds,17,7)</f>
        <v>0</v>
      </c>
      <c r="G20" s="223">
        <f>INDEX(Q3_Paeds,17,8)</f>
        <v>0</v>
      </c>
      <c r="H20" s="213">
        <f>INDEX(Q3_Paeds,17,9)</f>
        <v>59</v>
      </c>
      <c r="I20" s="203">
        <f t="shared" si="0"/>
        <v>0.29949238578680204</v>
      </c>
      <c r="J20" s="204">
        <f>INDEX(Q3_Paeds,17,10)</f>
        <v>32</v>
      </c>
      <c r="K20" s="203">
        <f t="shared" si="1"/>
        <v>0.16243654822335024</v>
      </c>
      <c r="L20" s="204">
        <f>INDEX(Q3_Paeds,17,11)</f>
        <v>49</v>
      </c>
      <c r="M20" s="203">
        <f t="shared" si="2"/>
        <v>0.24873096446700507</v>
      </c>
      <c r="N20" s="204">
        <f>INDEX(Q3_Paeds,17,12)</f>
        <v>57</v>
      </c>
      <c r="O20" s="203">
        <f t="shared" si="3"/>
        <v>0.28934010152284262</v>
      </c>
      <c r="P20" s="205">
        <f>INDEX(Q3_Paeds,17,13)</f>
        <v>197</v>
      </c>
      <c r="Q20" s="202">
        <f>INDEX(Q3_Paeds,17,15)</f>
        <v>24</v>
      </c>
      <c r="R20" s="203">
        <f t="shared" si="4"/>
        <v>0.61538461538461542</v>
      </c>
      <c r="S20" s="204">
        <f>INDEX(Q3_Paeds,17,16)</f>
        <v>6</v>
      </c>
      <c r="T20" s="203">
        <f t="shared" si="5"/>
        <v>0.15384615384615385</v>
      </c>
      <c r="U20" s="206">
        <f>INDEX(Q3_Paeds,17,17)</f>
        <v>4</v>
      </c>
      <c r="V20" s="203">
        <f t="shared" si="6"/>
        <v>0.10256410256410256</v>
      </c>
      <c r="W20" s="204">
        <f>INDEX(Q3_Paeds,17,18)</f>
        <v>5</v>
      </c>
      <c r="X20" s="203">
        <f t="shared" si="7"/>
        <v>0.12820512820512819</v>
      </c>
      <c r="Y20" s="205">
        <f>INDEX(Q3_Paeds,17,19)</f>
        <v>39</v>
      </c>
      <c r="Z20" s="217">
        <f>INDEX(Q3_Paeds,17,21)</f>
        <v>0.16</v>
      </c>
      <c r="AA20" s="218">
        <f>INDEX(Q3_Paeds,17,22)</f>
        <v>0.05</v>
      </c>
    </row>
    <row r="21" spans="2:27" s="8" customFormat="1" ht="21.75" customHeight="1" thickTop="1" thickBot="1" x14ac:dyDescent="0.35">
      <c r="B21" s="28" t="s">
        <v>61</v>
      </c>
      <c r="C21" s="28" t="s">
        <v>23</v>
      </c>
      <c r="D21" s="60">
        <v>3</v>
      </c>
      <c r="E21" s="28" t="s">
        <v>21</v>
      </c>
      <c r="F21" s="219">
        <f>INDEX(Q3_Paeds,18,7)</f>
        <v>24</v>
      </c>
      <c r="G21" s="220">
        <f>INDEX(Q3_Paeds,18,8)</f>
        <v>24</v>
      </c>
      <c r="H21" s="207">
        <f>INDEX(Q3_Paeds,18,9)</f>
        <v>116</v>
      </c>
      <c r="I21" s="208">
        <f t="shared" si="0"/>
        <v>0.45669291338582679</v>
      </c>
      <c r="J21" s="209">
        <f>INDEX(Q3_Paeds,18,10)</f>
        <v>98</v>
      </c>
      <c r="K21" s="208">
        <f t="shared" si="1"/>
        <v>0.38582677165354329</v>
      </c>
      <c r="L21" s="209">
        <f>INDEX(Q3_Paeds,18,11)</f>
        <v>39</v>
      </c>
      <c r="M21" s="208">
        <f t="shared" si="2"/>
        <v>0.15354330708661418</v>
      </c>
      <c r="N21" s="209">
        <f>INDEX(Q3_Paeds,18,12)</f>
        <v>1</v>
      </c>
      <c r="O21" s="208">
        <f t="shared" si="3"/>
        <v>3.937007874015748E-3</v>
      </c>
      <c r="P21" s="210">
        <f>INDEX(Q3_Paeds,18,13)</f>
        <v>254</v>
      </c>
      <c r="Q21" s="211">
        <f>INDEX(Q3_Paeds,18,15)</f>
        <v>24</v>
      </c>
      <c r="R21" s="208">
        <f t="shared" si="4"/>
        <v>0.36363636363636365</v>
      </c>
      <c r="S21" s="209">
        <f>INDEX(Q3_Paeds,18,16)</f>
        <v>26</v>
      </c>
      <c r="T21" s="208">
        <f t="shared" si="5"/>
        <v>0.39393939393939392</v>
      </c>
      <c r="U21" s="212">
        <f>INDEX(Q3_Paeds,18,17)</f>
        <v>14</v>
      </c>
      <c r="V21" s="208">
        <f t="shared" si="6"/>
        <v>0.21212121212121213</v>
      </c>
      <c r="W21" s="209">
        <f>INDEX(Q3_Paeds,18,18)</f>
        <v>2</v>
      </c>
      <c r="X21" s="208">
        <f t="shared" si="7"/>
        <v>3.0303030303030304E-2</v>
      </c>
      <c r="Y21" s="210">
        <f>INDEX(Q3_Paeds,18,19)</f>
        <v>66</v>
      </c>
      <c r="Z21" s="221">
        <f>INDEX(Q3_Paeds,18,21)</f>
        <v>0</v>
      </c>
      <c r="AA21" s="222">
        <f>INDEX(Q3_Paeds,18,22)</f>
        <v>0</v>
      </c>
    </row>
    <row r="22" spans="2:27" s="8" customFormat="1" ht="21.75" customHeight="1" thickTop="1" thickBot="1" x14ac:dyDescent="0.35">
      <c r="B22" s="30" t="s">
        <v>52</v>
      </c>
      <c r="C22" s="30" t="s">
        <v>23</v>
      </c>
      <c r="D22" s="62">
        <v>3</v>
      </c>
      <c r="E22" s="30" t="s">
        <v>21</v>
      </c>
      <c r="F22" s="216">
        <f>INDEX(Q3_Paeds,19,7)</f>
        <v>0</v>
      </c>
      <c r="G22" s="223">
        <f>INDEX(Q3_Paeds,19,8)</f>
        <v>0</v>
      </c>
      <c r="H22" s="213">
        <f>INDEX(Q3_Paeds,19,9)</f>
        <v>1</v>
      </c>
      <c r="I22" s="203">
        <f t="shared" si="0"/>
        <v>1</v>
      </c>
      <c r="J22" s="204">
        <f>INDEX(Q3_Paeds,19,10)</f>
        <v>0</v>
      </c>
      <c r="K22" s="203">
        <f t="shared" si="1"/>
        <v>0</v>
      </c>
      <c r="L22" s="204">
        <f>INDEX(Q3_Paeds,19,11)</f>
        <v>0</v>
      </c>
      <c r="M22" s="203">
        <f t="shared" si="2"/>
        <v>0</v>
      </c>
      <c r="N22" s="204">
        <f>INDEX(Q3_Paeds,19,12)</f>
        <v>0</v>
      </c>
      <c r="O22" s="203">
        <f t="shared" si="3"/>
        <v>0</v>
      </c>
      <c r="P22" s="205">
        <f>INDEX(Q3_Paeds,19,13)</f>
        <v>1</v>
      </c>
      <c r="Q22" s="202">
        <f>INDEX(Q3_Paeds,19,15)</f>
        <v>37</v>
      </c>
      <c r="R22" s="203">
        <f t="shared" si="4"/>
        <v>0.92500000000000004</v>
      </c>
      <c r="S22" s="204">
        <f>INDEX(Q3_Paeds,19,16)</f>
        <v>3</v>
      </c>
      <c r="T22" s="214">
        <f t="shared" si="5"/>
        <v>7.4999999999999997E-2</v>
      </c>
      <c r="U22" s="206">
        <f>INDEX(Q3_Paeds,19,17)</f>
        <v>0</v>
      </c>
      <c r="V22" s="203">
        <f t="shared" si="6"/>
        <v>0</v>
      </c>
      <c r="W22" s="204">
        <f>INDEX(Q3_Paeds,19,18)</f>
        <v>0</v>
      </c>
      <c r="X22" s="203">
        <f t="shared" si="7"/>
        <v>0</v>
      </c>
      <c r="Y22" s="205">
        <f>INDEX(Q3_Paeds,19,19)</f>
        <v>40</v>
      </c>
      <c r="Z22" s="217">
        <f>INDEX(Q3_Paeds,19,21)</f>
        <v>0.14000000000000001</v>
      </c>
      <c r="AA22" s="218">
        <f>INDEX(Q3_Paeds,19,22)</f>
        <v>0.18</v>
      </c>
    </row>
    <row r="23" spans="2:27" s="8" customFormat="1" ht="21.75" customHeight="1" thickTop="1" thickBot="1" x14ac:dyDescent="0.35">
      <c r="B23" s="31" t="s">
        <v>57</v>
      </c>
      <c r="C23" s="31" t="s">
        <v>23</v>
      </c>
      <c r="D23" s="63">
        <v>3</v>
      </c>
      <c r="E23" s="31" t="s">
        <v>21</v>
      </c>
      <c r="F23" s="219">
        <f>INDEX(Q3_Paeds,20,7)</f>
        <v>44</v>
      </c>
      <c r="G23" s="220">
        <f>INDEX(Q3_Paeds,20,8)</f>
        <v>44</v>
      </c>
      <c r="H23" s="211">
        <f>INDEX(Q3_Paeds,20,9)</f>
        <v>6</v>
      </c>
      <c r="I23" s="208">
        <f t="shared" si="0"/>
        <v>5.8823529411764705E-2</v>
      </c>
      <c r="J23" s="209">
        <f>INDEX(Q3_Paeds,20,10)</f>
        <v>13</v>
      </c>
      <c r="K23" s="208">
        <f t="shared" si="1"/>
        <v>0.12745098039215685</v>
      </c>
      <c r="L23" s="209">
        <f>INDEX(Q3_Paeds,20,11)</f>
        <v>22</v>
      </c>
      <c r="M23" s="208">
        <f t="shared" si="2"/>
        <v>0.21568627450980393</v>
      </c>
      <c r="N23" s="209">
        <f>INDEX(Q3_Paeds,20,12)</f>
        <v>61</v>
      </c>
      <c r="O23" s="208">
        <f t="shared" si="3"/>
        <v>0.59803921568627449</v>
      </c>
      <c r="P23" s="210">
        <f>INDEX(Q3_Paeds,20,13)</f>
        <v>102</v>
      </c>
      <c r="Q23" s="211">
        <f>INDEX(Q3_Paeds,20,15)</f>
        <v>0</v>
      </c>
      <c r="R23" s="208">
        <f t="shared" si="4"/>
        <v>0</v>
      </c>
      <c r="S23" s="209">
        <f>INDEX(Q3_Paeds,20,16)</f>
        <v>4</v>
      </c>
      <c r="T23" s="208">
        <f t="shared" si="5"/>
        <v>0.12121212121212122</v>
      </c>
      <c r="U23" s="215">
        <f>INDEX(Q3_Paeds,20,17)</f>
        <v>8</v>
      </c>
      <c r="V23" s="208">
        <f t="shared" si="6"/>
        <v>0.24242424242424243</v>
      </c>
      <c r="W23" s="209">
        <f>INDEX(Q3_Paeds,20,18)</f>
        <v>21</v>
      </c>
      <c r="X23" s="208">
        <f t="shared" si="7"/>
        <v>0.63636363636363635</v>
      </c>
      <c r="Y23" s="210">
        <f>INDEX(Q3_Paeds,20,19)</f>
        <v>33</v>
      </c>
      <c r="Z23" s="221">
        <f>INDEX(Q3_Paeds,20,21)</f>
        <v>0.11</v>
      </c>
      <c r="AA23" s="222">
        <f>INDEX(Q3_Paeds,20,22)</f>
        <v>0</v>
      </c>
    </row>
    <row r="24" spans="2:27" s="8" customFormat="1" ht="21.75" customHeight="1" thickTop="1" thickBot="1" x14ac:dyDescent="0.35">
      <c r="B24" s="32" t="s">
        <v>54</v>
      </c>
      <c r="C24" s="32" t="s">
        <v>23</v>
      </c>
      <c r="D24" s="64">
        <v>3</v>
      </c>
      <c r="E24" s="32" t="s">
        <v>21</v>
      </c>
      <c r="F24" s="216">
        <f>INDEX(Q3_Paeds,21,7)</f>
        <v>4</v>
      </c>
      <c r="G24" s="223">
        <f>INDEX(Q3_Paeds,21,8)</f>
        <v>4</v>
      </c>
      <c r="H24" s="202">
        <f>INDEX(Q3_Paeds,21,9)</f>
        <v>41</v>
      </c>
      <c r="I24" s="203">
        <f t="shared" si="0"/>
        <v>0.25624999999999998</v>
      </c>
      <c r="J24" s="204">
        <f>INDEX(Q3_Paeds,21,10)</f>
        <v>57</v>
      </c>
      <c r="K24" s="203">
        <f t="shared" si="1"/>
        <v>0.35625000000000001</v>
      </c>
      <c r="L24" s="204">
        <f>INDEX(Q3_Paeds,21,11)</f>
        <v>60</v>
      </c>
      <c r="M24" s="203">
        <f t="shared" si="2"/>
        <v>0.375</v>
      </c>
      <c r="N24" s="204">
        <f>INDEX(Q3_Paeds,21,12)</f>
        <v>2</v>
      </c>
      <c r="O24" s="203">
        <f t="shared" si="3"/>
        <v>1.2500000000000001E-2</v>
      </c>
      <c r="P24" s="205">
        <f>INDEX(Q3_Paeds,21,13)</f>
        <v>160</v>
      </c>
      <c r="Q24" s="202">
        <f>INDEX(Q3_Paeds,21,15)</f>
        <v>18</v>
      </c>
      <c r="R24" s="203">
        <f t="shared" si="4"/>
        <v>0.20454545454545456</v>
      </c>
      <c r="S24" s="204">
        <f>INDEX(Q3_Paeds,21,16)</f>
        <v>21</v>
      </c>
      <c r="T24" s="203">
        <f t="shared" si="5"/>
        <v>0.23863636363636365</v>
      </c>
      <c r="U24" s="206">
        <f>INDEX(Q3_Paeds,21,17)</f>
        <v>34</v>
      </c>
      <c r="V24" s="203">
        <f t="shared" si="6"/>
        <v>0.38636363636363635</v>
      </c>
      <c r="W24" s="204">
        <f>INDEX(Q3_Paeds,21,18)</f>
        <v>15</v>
      </c>
      <c r="X24" s="203">
        <f t="shared" si="7"/>
        <v>0.17045454545454544</v>
      </c>
      <c r="Y24" s="205">
        <f>INDEX(Q3_Paeds,21,19)</f>
        <v>88</v>
      </c>
      <c r="Z24" s="217">
        <f>INDEX(Q3_Paeds,21,21)</f>
        <v>0</v>
      </c>
      <c r="AA24" s="218">
        <f>INDEX(Q3_Paeds,21,22)</f>
        <v>0</v>
      </c>
    </row>
    <row r="25" spans="2:27" s="8" customFormat="1" ht="21.75" customHeight="1" thickTop="1" thickBot="1" x14ac:dyDescent="0.35">
      <c r="B25" s="29" t="s">
        <v>62</v>
      </c>
      <c r="C25" s="29" t="s">
        <v>23</v>
      </c>
      <c r="D25" s="61">
        <v>3</v>
      </c>
      <c r="E25" s="29" t="s">
        <v>21</v>
      </c>
      <c r="F25" s="219">
        <f>INDEX(Q3_Paeds,22,7)</f>
        <v>5</v>
      </c>
      <c r="G25" s="220">
        <f>INDEX(Q3_Paeds,22,8)</f>
        <v>13</v>
      </c>
      <c r="H25" s="211">
        <f>INDEX(Q3_Paeds,22,9)</f>
        <v>4</v>
      </c>
      <c r="I25" s="208">
        <f t="shared" si="0"/>
        <v>1</v>
      </c>
      <c r="J25" s="209">
        <f>INDEX(Q3_Paeds,22,10)</f>
        <v>0</v>
      </c>
      <c r="K25" s="208">
        <f t="shared" si="1"/>
        <v>0</v>
      </c>
      <c r="L25" s="209">
        <f>INDEX(Q3_Paeds,22,11)</f>
        <v>0</v>
      </c>
      <c r="M25" s="208">
        <f t="shared" si="2"/>
        <v>0</v>
      </c>
      <c r="N25" s="209">
        <f>INDEX(Q3_Paeds,22,12)</f>
        <v>0</v>
      </c>
      <c r="O25" s="208">
        <f t="shared" si="3"/>
        <v>0</v>
      </c>
      <c r="P25" s="210">
        <f>INDEX(Q3_Paeds,22,13)</f>
        <v>4</v>
      </c>
      <c r="Q25" s="211">
        <f>INDEX(Q3_Paeds,22,15)</f>
        <v>53</v>
      </c>
      <c r="R25" s="208">
        <f t="shared" si="4"/>
        <v>0.98148148148148151</v>
      </c>
      <c r="S25" s="209">
        <f>INDEX(Q3_Paeds,22,16)</f>
        <v>1</v>
      </c>
      <c r="T25" s="208">
        <f t="shared" si="5"/>
        <v>1.8518518518518517E-2</v>
      </c>
      <c r="U25" s="215">
        <f>INDEX(Q3_Paeds,22,17)</f>
        <v>0</v>
      </c>
      <c r="V25" s="208">
        <f t="shared" si="6"/>
        <v>0</v>
      </c>
      <c r="W25" s="209">
        <f>INDEX(Q3_Paeds,22,18)</f>
        <v>0</v>
      </c>
      <c r="X25" s="208">
        <f t="shared" si="7"/>
        <v>0</v>
      </c>
      <c r="Y25" s="210">
        <f>INDEX(Q3_Paeds,22,19)</f>
        <v>54</v>
      </c>
      <c r="Z25" s="221">
        <f>INDEX(Q3_Paeds,22,21)</f>
        <v>7.0000000000000007E-2</v>
      </c>
      <c r="AA25" s="222">
        <f>INDEX(Q3_Paeds,22,22)</f>
        <v>0.08</v>
      </c>
    </row>
    <row r="26" spans="2:27" ht="15" thickTop="1" x14ac:dyDescent="0.3">
      <c r="B26" s="16"/>
      <c r="C26" s="16"/>
      <c r="D26" s="16"/>
      <c r="E26" s="16"/>
      <c r="F26" s="15"/>
      <c r="G26" s="15"/>
      <c r="H26" s="120"/>
      <c r="I26" s="15"/>
      <c r="J26" s="120"/>
      <c r="K26" s="15"/>
      <c r="L26" s="120"/>
      <c r="M26" s="15"/>
      <c r="N26" s="120"/>
      <c r="O26" s="15"/>
      <c r="P26" s="15"/>
      <c r="Q26" s="120"/>
      <c r="R26" s="15"/>
      <c r="S26" s="120"/>
      <c r="T26" s="15"/>
      <c r="U26" s="120"/>
      <c r="V26" s="15"/>
      <c r="W26" s="120"/>
      <c r="X26" s="15"/>
      <c r="Y26" s="15"/>
      <c r="Z26" s="15"/>
      <c r="AA26" s="15"/>
    </row>
    <row r="27" spans="2:27" ht="15" thickBot="1" x14ac:dyDescent="0.35">
      <c r="B27" s="16"/>
      <c r="C27" s="16"/>
      <c r="D27" s="16"/>
      <c r="E27" s="16"/>
      <c r="F27" s="15"/>
      <c r="G27" s="15"/>
      <c r="H27" s="120"/>
      <c r="I27" s="15"/>
      <c r="J27" s="120"/>
      <c r="K27" s="15"/>
      <c r="L27" s="120"/>
      <c r="M27" s="15"/>
      <c r="N27" s="120"/>
      <c r="O27" s="15"/>
      <c r="P27" s="15"/>
      <c r="Q27" s="120"/>
      <c r="R27" s="15"/>
      <c r="S27" s="120"/>
      <c r="T27" s="15"/>
      <c r="U27" s="120"/>
      <c r="V27" s="15"/>
      <c r="W27" s="120"/>
      <c r="X27" s="15"/>
      <c r="Y27" s="15"/>
      <c r="Z27" s="15"/>
      <c r="AA27" s="15"/>
    </row>
    <row r="28" spans="2:27" ht="14.4" x14ac:dyDescent="0.3">
      <c r="B28" s="319" t="s">
        <v>86</v>
      </c>
      <c r="C28" s="320" t="s">
        <v>87</v>
      </c>
      <c r="D28" s="321"/>
      <c r="E28" s="322"/>
      <c r="F28" s="329" t="s">
        <v>78</v>
      </c>
      <c r="G28" s="300"/>
      <c r="H28" s="330"/>
      <c r="I28" s="331"/>
      <c r="J28" s="334" t="s">
        <v>84</v>
      </c>
      <c r="K28" s="335"/>
      <c r="L28" s="309" t="s">
        <v>84</v>
      </c>
      <c r="M28" s="310"/>
      <c r="N28" s="313" t="s">
        <v>84</v>
      </c>
      <c r="O28" s="314"/>
      <c r="P28" s="236"/>
      <c r="Q28" s="330"/>
      <c r="R28" s="331"/>
      <c r="S28" s="334" t="s">
        <v>84</v>
      </c>
      <c r="T28" s="335"/>
      <c r="U28" s="309" t="s">
        <v>84</v>
      </c>
      <c r="V28" s="310"/>
      <c r="W28" s="313" t="s">
        <v>84</v>
      </c>
      <c r="X28" s="314"/>
      <c r="Y28" s="129"/>
      <c r="Z28" s="299" t="s">
        <v>81</v>
      </c>
      <c r="AA28" s="300"/>
    </row>
    <row r="29" spans="2:27" ht="14.4" x14ac:dyDescent="0.3">
      <c r="B29" s="319"/>
      <c r="C29" s="323"/>
      <c r="D29" s="324"/>
      <c r="E29" s="325"/>
      <c r="F29" s="301"/>
      <c r="G29" s="302"/>
      <c r="H29" s="332"/>
      <c r="I29" s="333"/>
      <c r="J29" s="336"/>
      <c r="K29" s="337"/>
      <c r="L29" s="311"/>
      <c r="M29" s="312"/>
      <c r="N29" s="315"/>
      <c r="O29" s="316"/>
      <c r="P29" s="237"/>
      <c r="Q29" s="332"/>
      <c r="R29" s="333"/>
      <c r="S29" s="336"/>
      <c r="T29" s="337"/>
      <c r="U29" s="311"/>
      <c r="V29" s="312"/>
      <c r="W29" s="315"/>
      <c r="X29" s="316"/>
      <c r="Y29" s="130"/>
      <c r="Z29" s="303" t="s">
        <v>82</v>
      </c>
      <c r="AA29" s="302"/>
    </row>
    <row r="30" spans="2:27" ht="15" thickBot="1" x14ac:dyDescent="0.35">
      <c r="B30" s="319"/>
      <c r="C30" s="326"/>
      <c r="D30" s="327"/>
      <c r="E30" s="328"/>
      <c r="F30" s="342" t="s">
        <v>80</v>
      </c>
      <c r="G30" s="308"/>
      <c r="H30" s="304"/>
      <c r="I30" s="305"/>
      <c r="J30" s="306" t="s">
        <v>85</v>
      </c>
      <c r="K30" s="305"/>
      <c r="L30" s="306" t="s">
        <v>85</v>
      </c>
      <c r="M30" s="305"/>
      <c r="N30" s="306" t="s">
        <v>85</v>
      </c>
      <c r="O30" s="305"/>
      <c r="P30" s="234"/>
      <c r="Q30" s="304"/>
      <c r="R30" s="305"/>
      <c r="S30" s="306" t="s">
        <v>85</v>
      </c>
      <c r="T30" s="305"/>
      <c r="U30" s="306" t="s">
        <v>85</v>
      </c>
      <c r="V30" s="305"/>
      <c r="W30" s="306" t="s">
        <v>85</v>
      </c>
      <c r="X30" s="305"/>
      <c r="Y30" s="116"/>
      <c r="Z30" s="307" t="s">
        <v>83</v>
      </c>
      <c r="AA30" s="308"/>
    </row>
    <row r="31" spans="2:27" ht="14.4" x14ac:dyDescent="0.3">
      <c r="B31" s="17"/>
      <c r="C31" s="17"/>
      <c r="D31" s="17"/>
      <c r="E31" s="17"/>
      <c r="F31" s="18"/>
      <c r="G31" s="18"/>
      <c r="H31" s="121"/>
      <c r="I31" s="18"/>
      <c r="J31" s="121"/>
      <c r="K31" s="18"/>
      <c r="L31" s="121"/>
      <c r="M31" s="18"/>
      <c r="N31" s="121"/>
      <c r="O31" s="18"/>
      <c r="P31" s="18"/>
      <c r="Q31" s="121"/>
      <c r="R31" s="18"/>
      <c r="S31" s="121"/>
      <c r="T31" s="18"/>
      <c r="U31" s="121"/>
      <c r="V31" s="18"/>
      <c r="W31" s="121"/>
      <c r="X31" s="18"/>
      <c r="Y31" s="18"/>
      <c r="Z31" s="18"/>
      <c r="AA31" s="19"/>
    </row>
    <row r="32" spans="2:27" ht="14.4" x14ac:dyDescent="0.3">
      <c r="B32" s="15"/>
      <c r="C32" s="15"/>
      <c r="D32" s="15"/>
      <c r="E32" s="15"/>
      <c r="F32" s="20">
        <v>10</v>
      </c>
      <c r="G32" s="20">
        <v>10</v>
      </c>
      <c r="H32" s="122">
        <v>10</v>
      </c>
      <c r="I32" s="20"/>
      <c r="J32" s="122">
        <v>10</v>
      </c>
      <c r="K32" s="20">
        <v>10</v>
      </c>
      <c r="L32" s="122">
        <v>10</v>
      </c>
      <c r="M32" s="20"/>
      <c r="N32" s="122"/>
      <c r="O32" s="20"/>
      <c r="P32" s="20"/>
      <c r="Q32" s="122"/>
      <c r="R32" s="20"/>
      <c r="S32" s="122"/>
      <c r="T32" s="20"/>
      <c r="U32" s="122"/>
      <c r="V32" s="20"/>
      <c r="W32" s="122"/>
      <c r="X32" s="20"/>
      <c r="Y32" s="20"/>
      <c r="Z32" s="20"/>
      <c r="AA32" s="15"/>
    </row>
    <row r="33" spans="2:27" ht="14.4" x14ac:dyDescent="0.3">
      <c r="B33" s="16" t="s">
        <v>15</v>
      </c>
      <c r="C33" s="16"/>
      <c r="D33" s="16"/>
      <c r="E33" s="16"/>
      <c r="F33" s="21"/>
      <c r="G33" s="15"/>
      <c r="H33" s="120"/>
      <c r="I33" s="15"/>
      <c r="J33" s="120"/>
      <c r="K33" s="15"/>
      <c r="L33" s="120"/>
      <c r="M33" s="15"/>
      <c r="N33" s="120"/>
      <c r="O33" s="15"/>
      <c r="P33" s="15"/>
      <c r="Q33" s="120"/>
      <c r="R33" s="15"/>
      <c r="S33" s="120"/>
      <c r="T33" s="15"/>
      <c r="U33" s="120"/>
      <c r="V33" s="15"/>
      <c r="W33" s="120"/>
      <c r="X33" s="15"/>
      <c r="Y33" s="15"/>
      <c r="Z33" s="15"/>
      <c r="AA33" s="15"/>
    </row>
    <row r="34" spans="2:27" ht="14.4" x14ac:dyDescent="0.3">
      <c r="B34" s="22" t="s">
        <v>16</v>
      </c>
      <c r="C34" s="22"/>
      <c r="D34" s="22"/>
      <c r="E34" s="22"/>
      <c r="F34" s="15"/>
      <c r="G34" s="15"/>
      <c r="H34" s="120"/>
      <c r="I34" s="15"/>
      <c r="J34" s="120"/>
      <c r="K34" s="15"/>
      <c r="L34" s="120"/>
      <c r="M34" s="15"/>
      <c r="N34" s="120"/>
      <c r="O34" s="15"/>
      <c r="P34" s="15"/>
      <c r="Q34" s="120"/>
      <c r="R34" s="15"/>
      <c r="S34" s="120"/>
      <c r="T34" s="15"/>
      <c r="U34" s="120"/>
      <c r="V34" s="15"/>
      <c r="W34" s="120"/>
      <c r="X34" s="15"/>
      <c r="Y34" s="15"/>
      <c r="Z34" s="15"/>
      <c r="AA34" s="15"/>
    </row>
    <row r="35" spans="2:27" ht="14.4" x14ac:dyDescent="0.3">
      <c r="B35" s="23"/>
      <c r="C35" s="23"/>
      <c r="D35" s="23"/>
      <c r="E35" s="23"/>
      <c r="F35" s="15"/>
      <c r="G35" s="15"/>
      <c r="H35" s="120"/>
      <c r="I35" s="15"/>
      <c r="J35" s="120"/>
      <c r="K35" s="15"/>
      <c r="L35" s="120"/>
      <c r="M35" s="15"/>
      <c r="N35" s="120"/>
      <c r="O35" s="15"/>
      <c r="P35" s="15"/>
      <c r="Q35" s="120"/>
      <c r="R35" s="15"/>
      <c r="S35" s="120"/>
      <c r="T35" s="15"/>
      <c r="U35" s="120"/>
      <c r="V35" s="15"/>
      <c r="W35" s="120"/>
      <c r="X35" s="15"/>
      <c r="Y35" s="15"/>
      <c r="Z35" s="15"/>
      <c r="AA35" s="15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sheetProtection algorithmName="SHA-512" hashValue="fVX5nndN2uzASaZJU8cI1Fe1K+H4m80WLEbz1Gd22aRWFfZs5pjjQuXySEjY1wneUj0e9j/rPmHh7qWpZ+y/Sg==" saltValue="2pbvcNzE0ZcUYyBCDlALXw==" spinCount="100000" sheet="1" objects="1" scenarios="1" selectLockedCell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containsText" dxfId="70" priority="9" operator="containsText" text="N/A">
      <formula>NOT(ISERROR(SEARCH("N/A",F8)))</formula>
    </cfRule>
    <cfRule type="cellIs" dxfId="69" priority="16" operator="between">
      <formula>0.01</formula>
      <formula>13</formula>
    </cfRule>
    <cfRule type="cellIs" dxfId="68" priority="17" operator="between">
      <formula>13</formula>
      <formula>18</formula>
    </cfRule>
    <cfRule type="cellIs" dxfId="67" priority="18" operator="greaterThan">
      <formula>18</formula>
    </cfRule>
    <cfRule type="cellIs" dxfId="66" priority="19" operator="greaterThan">
      <formula>18</formula>
    </cfRule>
  </conditionalFormatting>
  <conditionalFormatting sqref="K8:K25 T8:T25">
    <cfRule type="cellIs" dxfId="65" priority="15" operator="greaterThan">
      <formula>0.49</formula>
    </cfRule>
  </conditionalFormatting>
  <conditionalFormatting sqref="V8:V25 M8:M25">
    <cfRule type="cellIs" dxfId="64" priority="14" operator="greaterThan">
      <formula>0.49</formula>
    </cfRule>
  </conditionalFormatting>
  <conditionalFormatting sqref="O8:O25 X8:X25">
    <cfRule type="cellIs" dxfId="63" priority="13" operator="greaterThan">
      <formula>0.49</formula>
    </cfRule>
  </conditionalFormatting>
  <conditionalFormatting sqref="Z8:AA25">
    <cfRule type="cellIs" dxfId="62" priority="10" operator="between">
      <formula>0.0001</formula>
      <formula>0.1</formula>
    </cfRule>
    <cfRule type="cellIs" dxfId="61" priority="11" operator="between">
      <formula>0.1</formula>
      <formula>0.19</formula>
    </cfRule>
    <cfRule type="cellIs" dxfId="60" priority="12" operator="greaterThan">
      <formula>0.2</formula>
    </cfRule>
  </conditionalFormatting>
  <conditionalFormatting sqref="J8:J25">
    <cfRule type="expression" dxfId="59" priority="8">
      <formula>($J8/$P8*100)&gt;49.49</formula>
    </cfRule>
  </conditionalFormatting>
  <conditionalFormatting sqref="L8:L25">
    <cfRule type="expression" dxfId="58" priority="7">
      <formula>($L8/$P8*100)&gt;49.49</formula>
    </cfRule>
  </conditionalFormatting>
  <conditionalFormatting sqref="N8:N25">
    <cfRule type="expression" dxfId="57" priority="6">
      <formula>($N8/$P8*100)&gt;49.49</formula>
    </cfRule>
  </conditionalFormatting>
  <conditionalFormatting sqref="S8:S25">
    <cfRule type="expression" dxfId="56" priority="5">
      <formula>($S8/$Y8*100)&gt;49.49</formula>
    </cfRule>
  </conditionalFormatting>
  <conditionalFormatting sqref="U8:U25">
    <cfRule type="expression" dxfId="55" priority="4">
      <formula>($U8/$Y8*100)&gt;49.49</formula>
    </cfRule>
  </conditionalFormatting>
  <conditionalFormatting sqref="W8:W25">
    <cfRule type="expression" dxfId="54" priority="3">
      <formula>($W8/$Y8*100)&gt;49.49</formula>
    </cfRule>
  </conditionalFormatting>
  <conditionalFormatting sqref="L9">
    <cfRule type="expression" dxfId="53" priority="2">
      <formula>"$M$9=&gt;.499"</formula>
    </cfRule>
  </conditionalFormatting>
  <conditionalFormatting sqref="F8:AA25">
    <cfRule type="expression" dxfId="52" priority="1">
      <formula>$F8="No data"</formula>
    </cfRule>
  </conditionalFormatting>
  <hyperlinks>
    <hyperlink ref="C28:E30" location="Sheet1!A1" display="For more information on rag ratings please click here" xr:uid="{00000000-0004-0000-0900-000000000000}"/>
    <hyperlink ref="B3" location="'Front Page'!A1" display="Return to Contents" xr:uid="{00000000-0004-0000-0900-000001000000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456"/>
  <sheetViews>
    <sheetView showGridLines="0" zoomScale="75" zoomScaleNormal="75" workbookViewId="0">
      <selection activeCell="Y1" sqref="Y1:AA1"/>
    </sheetView>
  </sheetViews>
  <sheetFormatPr defaultColWidth="0" defaultRowHeight="14.4" customHeight="1" zeroHeight="1" x14ac:dyDescent="0.3"/>
  <cols>
    <col min="1" max="29" width="9.109375" style="33" customWidth="1"/>
    <col min="30" max="16384" width="9.109375" style="33" hidden="1"/>
  </cols>
  <sheetData>
    <row r="1" spans="1:29" s="10" customFormat="1" ht="35.25" customHeight="1" x14ac:dyDescent="0.3">
      <c r="A1" s="352" t="s">
        <v>96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434" t="s">
        <v>95</v>
      </c>
      <c r="Z1" s="434"/>
      <c r="AA1" s="434"/>
    </row>
    <row r="2" spans="1:29" s="80" customFormat="1" ht="30" customHeight="1" x14ac:dyDescent="0.3">
      <c r="A2" s="354" t="s">
        <v>206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</row>
    <row r="3" spans="1:29" s="81" customFormat="1" ht="25.5" customHeight="1" x14ac:dyDescent="0.3">
      <c r="A3" s="463"/>
      <c r="B3" s="464" t="s">
        <v>106</v>
      </c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</row>
    <row r="4" spans="1:29" s="12" customFormat="1" x14ac:dyDescent="0.3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</row>
    <row r="5" spans="1:29" s="12" customFormat="1" x14ac:dyDescent="0.3">
      <c r="A5" s="172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2"/>
    </row>
    <row r="6" spans="1:29" s="12" customFormat="1" x14ac:dyDescent="0.3">
      <c r="A6" s="172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2"/>
    </row>
    <row r="7" spans="1:29" s="12" customFormat="1" x14ac:dyDescent="0.3">
      <c r="A7" s="172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2"/>
    </row>
    <row r="8" spans="1:29" s="12" customFormat="1" x14ac:dyDescent="0.3">
      <c r="A8" s="172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2"/>
    </row>
    <row r="9" spans="1:29" s="12" customFormat="1" x14ac:dyDescent="0.3">
      <c r="A9" s="17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2"/>
    </row>
    <row r="10" spans="1:29" s="12" customFormat="1" x14ac:dyDescent="0.3">
      <c r="A10" s="172"/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2"/>
    </row>
    <row r="11" spans="1:29" s="12" customFormat="1" x14ac:dyDescent="0.3">
      <c r="A11" s="172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2"/>
    </row>
    <row r="12" spans="1:29" s="12" customFormat="1" x14ac:dyDescent="0.3">
      <c r="A12" s="172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2"/>
    </row>
    <row r="13" spans="1:29" s="12" customFormat="1" x14ac:dyDescent="0.3">
      <c r="A13" s="172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2"/>
    </row>
    <row r="14" spans="1:29" s="12" customFormat="1" x14ac:dyDescent="0.3">
      <c r="A14" s="172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2"/>
    </row>
    <row r="15" spans="1:29" s="12" customFormat="1" x14ac:dyDescent="0.3">
      <c r="A15" s="172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2"/>
    </row>
    <row r="16" spans="1:29" s="12" customFormat="1" x14ac:dyDescent="0.3">
      <c r="A16" s="172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2"/>
    </row>
    <row r="17" spans="1:29" s="12" customFormat="1" x14ac:dyDescent="0.3">
      <c r="A17" s="172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2"/>
    </row>
    <row r="18" spans="1:29" s="12" customFormat="1" x14ac:dyDescent="0.3">
      <c r="A18" s="172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2"/>
    </row>
    <row r="19" spans="1:29" s="12" customFormat="1" x14ac:dyDescent="0.3">
      <c r="A19" s="172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2"/>
    </row>
    <row r="20" spans="1:29" s="12" customFormat="1" x14ac:dyDescent="0.3">
      <c r="A20" s="172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2"/>
    </row>
    <row r="21" spans="1:29" s="12" customFormat="1" x14ac:dyDescent="0.3">
      <c r="A21" s="172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2"/>
    </row>
    <row r="22" spans="1:29" s="12" customFormat="1" x14ac:dyDescent="0.3">
      <c r="A22" s="172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2"/>
    </row>
    <row r="23" spans="1:29" s="12" customFormat="1" x14ac:dyDescent="0.3">
      <c r="A23" s="172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2"/>
    </row>
    <row r="24" spans="1:29" s="12" customFormat="1" x14ac:dyDescent="0.3">
      <c r="A24" s="172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2"/>
    </row>
    <row r="25" spans="1:29" s="12" customFormat="1" x14ac:dyDescent="0.3">
      <c r="A25" s="172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2"/>
    </row>
    <row r="26" spans="1:29" s="12" customFormat="1" x14ac:dyDescent="0.3">
      <c r="A26" s="172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2"/>
    </row>
    <row r="27" spans="1:29" s="12" customFormat="1" x14ac:dyDescent="0.3">
      <c r="A27" s="172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2"/>
    </row>
    <row r="28" spans="1:29" s="12" customFormat="1" x14ac:dyDescent="0.3">
      <c r="A28" s="172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2"/>
    </row>
    <row r="29" spans="1:29" s="12" customFormat="1" x14ac:dyDescent="0.3">
      <c r="A29" s="172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2"/>
    </row>
    <row r="30" spans="1:29" s="12" customFormat="1" x14ac:dyDescent="0.3">
      <c r="A30" s="172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2"/>
    </row>
    <row r="31" spans="1:29" s="12" customFormat="1" x14ac:dyDescent="0.3">
      <c r="A31" s="172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2"/>
    </row>
    <row r="32" spans="1:29" s="12" customFormat="1" x14ac:dyDescent="0.3">
      <c r="A32" s="172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2"/>
    </row>
    <row r="33" spans="1:29" s="12" customFormat="1" x14ac:dyDescent="0.3">
      <c r="A33" s="172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2"/>
    </row>
    <row r="34" spans="1:29" s="12" customFormat="1" x14ac:dyDescent="0.3">
      <c r="A34" s="172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</row>
    <row r="35" spans="1:29" s="12" customFormat="1" x14ac:dyDescent="0.3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</row>
    <row r="36" spans="1:29" s="81" customFormat="1" ht="25.5" customHeight="1" x14ac:dyDescent="0.3">
      <c r="A36" s="463"/>
      <c r="B36" s="464" t="s">
        <v>97</v>
      </c>
      <c r="C36" s="463"/>
      <c r="D36" s="463"/>
      <c r="E36" s="463"/>
      <c r="F36" s="463"/>
      <c r="G36" s="463"/>
      <c r="H36" s="463"/>
      <c r="I36" s="463"/>
      <c r="J36" s="463"/>
      <c r="K36" s="463"/>
      <c r="L36" s="463"/>
      <c r="M36" s="463"/>
      <c r="N36" s="463"/>
      <c r="O36" s="463"/>
      <c r="P36" s="463"/>
      <c r="Q36" s="463"/>
      <c r="R36" s="463"/>
      <c r="S36" s="463"/>
      <c r="T36" s="463"/>
      <c r="U36" s="463"/>
      <c r="V36" s="463"/>
      <c r="W36" s="463"/>
      <c r="X36" s="463"/>
      <c r="Y36" s="463"/>
      <c r="Z36" s="463"/>
      <c r="AA36" s="463"/>
      <c r="AB36" s="463"/>
      <c r="AC36" s="463"/>
    </row>
    <row r="37" spans="1:29" s="12" customFormat="1" x14ac:dyDescent="0.3">
      <c r="A37" s="172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</row>
    <row r="38" spans="1:29" s="79" customFormat="1" x14ac:dyDescent="0.3">
      <c r="A38" s="172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</row>
    <row r="39" spans="1:29" s="79" customFormat="1" x14ac:dyDescent="0.3">
      <c r="A39" s="172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</row>
    <row r="40" spans="1:29" s="79" customFormat="1" x14ac:dyDescent="0.3">
      <c r="A40" s="172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</row>
    <row r="41" spans="1:29" s="79" customFormat="1" x14ac:dyDescent="0.3">
      <c r="A41" s="172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</row>
    <row r="42" spans="1:29" s="79" customFormat="1" x14ac:dyDescent="0.3">
      <c r="A42" s="172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</row>
    <row r="43" spans="1:29" s="79" customFormat="1" x14ac:dyDescent="0.3">
      <c r="A43" s="172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</row>
    <row r="44" spans="1:29" s="79" customFormat="1" x14ac:dyDescent="0.3">
      <c r="A44" s="172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</row>
    <row r="45" spans="1:29" s="79" customFormat="1" x14ac:dyDescent="0.3">
      <c r="A45" s="172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</row>
    <row r="46" spans="1:29" s="79" customFormat="1" x14ac:dyDescent="0.3">
      <c r="A46" s="172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</row>
    <row r="47" spans="1:29" s="79" customFormat="1" x14ac:dyDescent="0.3">
      <c r="A47" s="172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</row>
    <row r="48" spans="1:29" s="79" customFormat="1" x14ac:dyDescent="0.3">
      <c r="A48" s="172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</row>
    <row r="49" spans="1:29" s="79" customFormat="1" x14ac:dyDescent="0.3">
      <c r="A49" s="172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</row>
    <row r="50" spans="1:29" s="79" customFormat="1" x14ac:dyDescent="0.3">
      <c r="A50" s="172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</row>
    <row r="51" spans="1:29" s="79" customFormat="1" x14ac:dyDescent="0.3">
      <c r="A51" s="172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</row>
    <row r="52" spans="1:29" s="79" customFormat="1" x14ac:dyDescent="0.3">
      <c r="A52" s="172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</row>
    <row r="53" spans="1:29" s="79" customFormat="1" x14ac:dyDescent="0.3">
      <c r="A53" s="172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</row>
    <row r="54" spans="1:29" s="79" customFormat="1" x14ac:dyDescent="0.3">
      <c r="A54" s="172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</row>
    <row r="55" spans="1:29" s="79" customFormat="1" x14ac:dyDescent="0.3">
      <c r="A55" s="172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</row>
    <row r="56" spans="1:29" s="79" customFormat="1" x14ac:dyDescent="0.3">
      <c r="A56" s="172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</row>
    <row r="57" spans="1:29" s="79" customFormat="1" x14ac:dyDescent="0.3">
      <c r="A57" s="172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  <c r="AC57" s="179"/>
    </row>
    <row r="58" spans="1:29" s="79" customFormat="1" x14ac:dyDescent="0.3">
      <c r="A58" s="172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</row>
    <row r="59" spans="1:29" s="79" customFormat="1" x14ac:dyDescent="0.3">
      <c r="A59" s="172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</row>
    <row r="60" spans="1:29" s="79" customFormat="1" x14ac:dyDescent="0.3">
      <c r="A60" s="172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</row>
    <row r="61" spans="1:29" s="79" customFormat="1" x14ac:dyDescent="0.3">
      <c r="A61" s="172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</row>
    <row r="62" spans="1:29" s="79" customFormat="1" x14ac:dyDescent="0.3">
      <c r="A62" s="172"/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</row>
    <row r="63" spans="1:29" s="79" customFormat="1" x14ac:dyDescent="0.3">
      <c r="A63" s="172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</row>
    <row r="64" spans="1:29" s="79" customFormat="1" x14ac:dyDescent="0.3">
      <c r="A64" s="172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</row>
    <row r="65" spans="1:29" s="79" customFormat="1" x14ac:dyDescent="0.3">
      <c r="A65" s="172"/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</row>
    <row r="66" spans="1:29" s="79" customFormat="1" x14ac:dyDescent="0.3">
      <c r="A66" s="172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</row>
    <row r="67" spans="1:29" s="79" customFormat="1" x14ac:dyDescent="0.3">
      <c r="A67" s="172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</row>
    <row r="68" spans="1:29" s="79" customFormat="1" x14ac:dyDescent="0.3">
      <c r="A68" s="172"/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</row>
    <row r="69" spans="1:29" s="79" customFormat="1" x14ac:dyDescent="0.3">
      <c r="A69" s="172"/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</row>
    <row r="70" spans="1:29" s="79" customFormat="1" x14ac:dyDescent="0.3">
      <c r="A70" s="172"/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179"/>
      <c r="AA70" s="179"/>
      <c r="AB70" s="179"/>
      <c r="AC70" s="179"/>
    </row>
    <row r="71" spans="1:29" s="79" customFormat="1" x14ac:dyDescent="0.3">
      <c r="A71" s="172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79"/>
    </row>
    <row r="72" spans="1:29" s="79" customFormat="1" x14ac:dyDescent="0.3">
      <c r="A72" s="172"/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</row>
    <row r="73" spans="1:29" s="79" customFormat="1" x14ac:dyDescent="0.3">
      <c r="A73" s="172"/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79"/>
    </row>
    <row r="74" spans="1:29" s="79" customFormat="1" x14ac:dyDescent="0.3">
      <c r="A74" s="172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</row>
    <row r="75" spans="1:29" s="79" customFormat="1" x14ac:dyDescent="0.3">
      <c r="A75" s="172"/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</row>
    <row r="76" spans="1:29" s="79" customFormat="1" x14ac:dyDescent="0.3">
      <c r="A76" s="172"/>
      <c r="B76" s="179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79"/>
    </row>
    <row r="77" spans="1:29" s="79" customFormat="1" x14ac:dyDescent="0.3">
      <c r="A77" s="172"/>
      <c r="B77" s="179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  <c r="AA77" s="179"/>
      <c r="AB77" s="179"/>
      <c r="AC77" s="179"/>
    </row>
    <row r="78" spans="1:29" s="79" customFormat="1" x14ac:dyDescent="0.3">
      <c r="A78" s="172"/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  <c r="AC78" s="179"/>
    </row>
    <row r="79" spans="1:29" s="79" customFormat="1" x14ac:dyDescent="0.3">
      <c r="A79" s="172"/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  <c r="AA79" s="179"/>
      <c r="AB79" s="179"/>
      <c r="AC79" s="179"/>
    </row>
    <row r="80" spans="1:29" s="79" customFormat="1" x14ac:dyDescent="0.3">
      <c r="A80" s="172"/>
      <c r="B80" s="179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9"/>
      <c r="AA80" s="179"/>
      <c r="AB80" s="179"/>
      <c r="AC80" s="179"/>
    </row>
    <row r="81" spans="1:29" s="79" customFormat="1" x14ac:dyDescent="0.3">
      <c r="A81" s="172"/>
      <c r="B81" s="179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  <c r="AA81" s="179"/>
      <c r="AB81" s="179"/>
      <c r="AC81" s="179"/>
    </row>
    <row r="82" spans="1:29" s="79" customFormat="1" x14ac:dyDescent="0.3">
      <c r="A82" s="172"/>
      <c r="B82" s="179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</row>
    <row r="83" spans="1:29" s="79" customFormat="1" x14ac:dyDescent="0.3">
      <c r="A83" s="172"/>
      <c r="B83" s="179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</row>
    <row r="84" spans="1:29" s="79" customFormat="1" x14ac:dyDescent="0.3">
      <c r="A84" s="172"/>
      <c r="B84" s="179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</row>
    <row r="85" spans="1:29" s="79" customFormat="1" x14ac:dyDescent="0.3">
      <c r="A85" s="172"/>
      <c r="B85" s="179"/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</row>
    <row r="86" spans="1:29" s="79" customFormat="1" x14ac:dyDescent="0.3">
      <c r="A86" s="172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  <c r="AC86" s="179"/>
    </row>
    <row r="87" spans="1:29" s="79" customFormat="1" x14ac:dyDescent="0.3">
      <c r="A87" s="172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</row>
    <row r="88" spans="1:29" s="79" customFormat="1" x14ac:dyDescent="0.3">
      <c r="A88" s="172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Y88" s="179"/>
      <c r="Z88" s="179"/>
      <c r="AA88" s="179"/>
      <c r="AB88" s="179"/>
      <c r="AC88" s="179"/>
    </row>
    <row r="89" spans="1:29" s="12" customFormat="1" x14ac:dyDescent="0.3">
      <c r="A89" s="172"/>
      <c r="B89" s="172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72"/>
      <c r="X89" s="172"/>
      <c r="Y89" s="172"/>
      <c r="Z89" s="172"/>
      <c r="AA89" s="172"/>
      <c r="AB89" s="172"/>
      <c r="AC89" s="172"/>
    </row>
    <row r="90" spans="1:29" s="12" customFormat="1" x14ac:dyDescent="0.3">
      <c r="A90" s="172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  <c r="AA90" s="179"/>
      <c r="AB90" s="179"/>
      <c r="AC90" s="179"/>
    </row>
    <row r="91" spans="1:29" s="12" customFormat="1" x14ac:dyDescent="0.3">
      <c r="A91" s="172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  <c r="AA91" s="179"/>
      <c r="AB91" s="179"/>
      <c r="AC91" s="179"/>
    </row>
    <row r="92" spans="1:29" s="12" customFormat="1" x14ac:dyDescent="0.3">
      <c r="A92" s="172"/>
      <c r="B92" s="179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</row>
    <row r="93" spans="1:29" s="12" customFormat="1" x14ac:dyDescent="0.3">
      <c r="A93" s="172"/>
      <c r="B93" s="179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</row>
    <row r="94" spans="1:29" s="12" customFormat="1" x14ac:dyDescent="0.3">
      <c r="A94" s="172"/>
      <c r="B94" s="179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79"/>
    </row>
    <row r="95" spans="1:29" s="12" customFormat="1" x14ac:dyDescent="0.3">
      <c r="A95" s="172"/>
      <c r="B95" s="179"/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</row>
    <row r="96" spans="1:29" s="12" customFormat="1" x14ac:dyDescent="0.3">
      <c r="A96" s="172"/>
      <c r="B96" s="179"/>
      <c r="C96" s="179"/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</row>
    <row r="97" spans="1:29" s="12" customFormat="1" x14ac:dyDescent="0.3">
      <c r="A97" s="172"/>
      <c r="B97" s="179"/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</row>
    <row r="98" spans="1:29" s="12" customFormat="1" x14ac:dyDescent="0.3">
      <c r="A98" s="172"/>
      <c r="B98" s="179"/>
      <c r="C98" s="179"/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</row>
    <row r="99" spans="1:29" s="12" customFormat="1" x14ac:dyDescent="0.3">
      <c r="A99" s="172"/>
      <c r="B99" s="179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</row>
    <row r="100" spans="1:29" s="12" customFormat="1" x14ac:dyDescent="0.3">
      <c r="A100" s="172"/>
      <c r="B100" s="179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Y100" s="179"/>
      <c r="Z100" s="179"/>
      <c r="AA100" s="179"/>
      <c r="AB100" s="179"/>
      <c r="AC100" s="179"/>
    </row>
    <row r="101" spans="1:29" s="12" customFormat="1" x14ac:dyDescent="0.3">
      <c r="A101" s="172"/>
      <c r="B101" s="179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  <c r="Z101" s="179"/>
      <c r="AA101" s="179"/>
      <c r="AB101" s="179"/>
      <c r="AC101" s="179"/>
    </row>
    <row r="102" spans="1:29" s="12" customFormat="1" x14ac:dyDescent="0.3">
      <c r="A102" s="172"/>
      <c r="B102" s="179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  <c r="AA102" s="179"/>
      <c r="AB102" s="179"/>
      <c r="AC102" s="179"/>
    </row>
    <row r="103" spans="1:29" s="12" customFormat="1" x14ac:dyDescent="0.3">
      <c r="A103" s="172"/>
      <c r="B103" s="179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  <c r="Y103" s="179"/>
      <c r="Z103" s="179"/>
      <c r="AA103" s="179"/>
      <c r="AB103" s="179"/>
      <c r="AC103" s="179"/>
    </row>
    <row r="104" spans="1:29" s="12" customFormat="1" x14ac:dyDescent="0.3">
      <c r="A104" s="172"/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  <c r="AA104" s="179"/>
      <c r="AB104" s="179"/>
      <c r="AC104" s="179"/>
    </row>
    <row r="105" spans="1:29" s="12" customFormat="1" x14ac:dyDescent="0.3">
      <c r="A105" s="172"/>
      <c r="B105" s="179"/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  <c r="Y105" s="179"/>
      <c r="Z105" s="179"/>
      <c r="AA105" s="179"/>
      <c r="AB105" s="179"/>
      <c r="AC105" s="179"/>
    </row>
    <row r="106" spans="1:29" s="12" customFormat="1" x14ac:dyDescent="0.3">
      <c r="A106" s="172"/>
      <c r="B106" s="179"/>
      <c r="C106" s="179"/>
      <c r="D106" s="179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179"/>
      <c r="X106" s="179"/>
      <c r="Y106" s="179"/>
      <c r="Z106" s="179"/>
      <c r="AA106" s="179"/>
      <c r="AB106" s="179"/>
      <c r="AC106" s="179"/>
    </row>
    <row r="107" spans="1:29" s="12" customFormat="1" x14ac:dyDescent="0.3">
      <c r="A107" s="172"/>
      <c r="B107" s="179"/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179"/>
      <c r="X107" s="179"/>
      <c r="Y107" s="179"/>
      <c r="Z107" s="179"/>
      <c r="AA107" s="179"/>
      <c r="AB107" s="179"/>
      <c r="AC107" s="179"/>
    </row>
    <row r="108" spans="1:29" s="12" customFormat="1" x14ac:dyDescent="0.3">
      <c r="A108" s="172"/>
      <c r="B108" s="179"/>
      <c r="C108" s="179"/>
      <c r="D108" s="179"/>
      <c r="E108" s="179"/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  <c r="Y108" s="179"/>
      <c r="Z108" s="179"/>
      <c r="AA108" s="179"/>
      <c r="AB108" s="179"/>
      <c r="AC108" s="179"/>
    </row>
    <row r="109" spans="1:29" s="12" customFormat="1" x14ac:dyDescent="0.3">
      <c r="A109" s="172"/>
      <c r="B109" s="179"/>
      <c r="C109" s="179"/>
      <c r="D109" s="179"/>
      <c r="E109" s="179"/>
      <c r="F109" s="179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  <c r="W109" s="179"/>
      <c r="X109" s="179"/>
      <c r="Y109" s="179"/>
      <c r="Z109" s="179"/>
      <c r="AA109" s="179"/>
      <c r="AB109" s="179"/>
      <c r="AC109" s="179"/>
    </row>
    <row r="110" spans="1:29" s="12" customFormat="1" x14ac:dyDescent="0.3">
      <c r="A110" s="172"/>
      <c r="B110" s="179"/>
      <c r="C110" s="179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179"/>
      <c r="X110" s="179"/>
      <c r="Y110" s="179"/>
      <c r="Z110" s="179"/>
      <c r="AA110" s="179"/>
      <c r="AB110" s="179"/>
      <c r="AC110" s="179"/>
    </row>
    <row r="111" spans="1:29" s="12" customFormat="1" x14ac:dyDescent="0.3">
      <c r="A111" s="172"/>
      <c r="B111" s="179"/>
      <c r="C111" s="179"/>
      <c r="D111" s="179"/>
      <c r="E111" s="179"/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  <c r="W111" s="179"/>
      <c r="X111" s="179"/>
      <c r="Y111" s="179"/>
      <c r="Z111" s="179"/>
      <c r="AA111" s="179"/>
      <c r="AB111" s="179"/>
      <c r="AC111" s="179"/>
    </row>
    <row r="112" spans="1:29" s="12" customFormat="1" x14ac:dyDescent="0.3">
      <c r="A112" s="172"/>
      <c r="B112" s="179"/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9"/>
      <c r="W112" s="179"/>
      <c r="X112" s="179"/>
      <c r="Y112" s="179"/>
      <c r="Z112" s="179"/>
      <c r="AA112" s="179"/>
      <c r="AB112" s="179"/>
      <c r="AC112" s="179"/>
    </row>
    <row r="113" spans="1:29" s="12" customFormat="1" x14ac:dyDescent="0.3">
      <c r="A113" s="172"/>
      <c r="B113" s="179"/>
      <c r="C113" s="179"/>
      <c r="D113" s="179"/>
      <c r="E113" s="179"/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  <c r="P113" s="179"/>
      <c r="Q113" s="179"/>
      <c r="R113" s="179"/>
      <c r="S113" s="179"/>
      <c r="T113" s="179"/>
      <c r="U113" s="179"/>
      <c r="V113" s="179"/>
      <c r="W113" s="179"/>
      <c r="X113" s="179"/>
      <c r="Y113" s="179"/>
      <c r="Z113" s="179"/>
      <c r="AA113" s="179"/>
      <c r="AB113" s="179"/>
      <c r="AC113" s="179"/>
    </row>
    <row r="114" spans="1:29" s="12" customFormat="1" x14ac:dyDescent="0.3">
      <c r="A114" s="172"/>
      <c r="B114" s="179"/>
      <c r="C114" s="179"/>
      <c r="D114" s="179"/>
      <c r="E114" s="179"/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  <c r="T114" s="179"/>
      <c r="U114" s="179"/>
      <c r="V114" s="179"/>
      <c r="W114" s="179"/>
      <c r="X114" s="179"/>
      <c r="Y114" s="179"/>
      <c r="Z114" s="179"/>
      <c r="AA114" s="179"/>
      <c r="AB114" s="179"/>
      <c r="AC114" s="179"/>
    </row>
    <row r="115" spans="1:29" s="12" customFormat="1" x14ac:dyDescent="0.3">
      <c r="A115" s="172"/>
      <c r="B115" s="179"/>
      <c r="C115" s="179"/>
      <c r="D115" s="179"/>
      <c r="E115" s="179"/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  <c r="T115" s="179"/>
      <c r="U115" s="179"/>
      <c r="V115" s="179"/>
      <c r="W115" s="179"/>
      <c r="X115" s="179"/>
      <c r="Y115" s="179"/>
      <c r="Z115" s="179"/>
      <c r="AA115" s="179"/>
      <c r="AB115" s="179"/>
      <c r="AC115" s="179"/>
    </row>
    <row r="116" spans="1:29" s="12" customFormat="1" x14ac:dyDescent="0.3">
      <c r="A116" s="172"/>
      <c r="B116" s="179"/>
      <c r="C116" s="179"/>
      <c r="D116" s="179"/>
      <c r="E116" s="179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  <c r="V116" s="179"/>
      <c r="W116" s="179"/>
      <c r="X116" s="179"/>
      <c r="Y116" s="179"/>
      <c r="Z116" s="179"/>
      <c r="AA116" s="179"/>
      <c r="AB116" s="179"/>
      <c r="AC116" s="179"/>
    </row>
    <row r="117" spans="1:29" s="12" customFormat="1" x14ac:dyDescent="0.3">
      <c r="A117" s="172"/>
      <c r="B117" s="179"/>
      <c r="C117" s="179"/>
      <c r="D117" s="179"/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  <c r="T117" s="179"/>
      <c r="U117" s="179"/>
      <c r="V117" s="179"/>
      <c r="W117" s="179"/>
      <c r="X117" s="179"/>
      <c r="Y117" s="179"/>
      <c r="Z117" s="179"/>
      <c r="AA117" s="179"/>
      <c r="AB117" s="179"/>
      <c r="AC117" s="179"/>
    </row>
    <row r="118" spans="1:29" s="12" customFormat="1" x14ac:dyDescent="0.3">
      <c r="A118" s="172"/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79"/>
      <c r="T118" s="179"/>
      <c r="U118" s="179"/>
      <c r="V118" s="179"/>
      <c r="W118" s="179"/>
      <c r="X118" s="179"/>
      <c r="Y118" s="179"/>
      <c r="Z118" s="179"/>
      <c r="AA118" s="179"/>
      <c r="AB118" s="179"/>
      <c r="AC118" s="179"/>
    </row>
    <row r="119" spans="1:29" s="12" customFormat="1" x14ac:dyDescent="0.3">
      <c r="A119" s="172"/>
      <c r="B119" s="179"/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9"/>
      <c r="W119" s="179"/>
      <c r="X119" s="179"/>
      <c r="Y119" s="179"/>
      <c r="Z119" s="179"/>
      <c r="AA119" s="179"/>
      <c r="AB119" s="179"/>
      <c r="AC119" s="179"/>
    </row>
    <row r="120" spans="1:29" s="12" customFormat="1" x14ac:dyDescent="0.3">
      <c r="A120" s="172"/>
      <c r="B120" s="179"/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179"/>
      <c r="X120" s="179"/>
      <c r="Y120" s="179"/>
      <c r="Z120" s="179"/>
      <c r="AA120" s="179"/>
      <c r="AB120" s="179"/>
      <c r="AC120" s="179"/>
    </row>
    <row r="121" spans="1:29" s="12" customFormat="1" x14ac:dyDescent="0.3">
      <c r="A121" s="172"/>
      <c r="B121" s="179"/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/>
      <c r="W121" s="179"/>
      <c r="X121" s="179"/>
      <c r="Y121" s="179"/>
      <c r="Z121" s="179"/>
      <c r="AA121" s="179"/>
      <c r="AB121" s="179"/>
      <c r="AC121" s="179"/>
    </row>
    <row r="122" spans="1:29" s="12" customFormat="1" x14ac:dyDescent="0.3">
      <c r="A122" s="172"/>
      <c r="B122" s="179"/>
      <c r="C122" s="179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  <c r="Z122" s="179"/>
      <c r="AA122" s="179"/>
      <c r="AB122" s="179"/>
      <c r="AC122" s="179"/>
    </row>
    <row r="123" spans="1:29" s="12" customFormat="1" x14ac:dyDescent="0.3">
      <c r="A123" s="172"/>
      <c r="B123" s="179"/>
      <c r="C123" s="179"/>
      <c r="D123" s="179"/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79"/>
      <c r="X123" s="179"/>
      <c r="Y123" s="179"/>
      <c r="Z123" s="179"/>
      <c r="AA123" s="179"/>
      <c r="AB123" s="179"/>
      <c r="AC123" s="179"/>
    </row>
    <row r="124" spans="1:29" s="12" customFormat="1" x14ac:dyDescent="0.3">
      <c r="A124" s="172"/>
      <c r="B124" s="179"/>
      <c r="C124" s="179"/>
      <c r="D124" s="179"/>
      <c r="E124" s="179"/>
      <c r="F124" s="179"/>
      <c r="G124" s="179"/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79"/>
      <c r="W124" s="179"/>
      <c r="X124" s="179"/>
      <c r="Y124" s="179"/>
      <c r="Z124" s="179"/>
      <c r="AA124" s="179"/>
      <c r="AB124" s="179"/>
      <c r="AC124" s="179"/>
    </row>
    <row r="125" spans="1:29" s="12" customFormat="1" x14ac:dyDescent="0.3">
      <c r="A125" s="172"/>
      <c r="B125" s="179"/>
      <c r="C125" s="179"/>
      <c r="D125" s="179"/>
      <c r="E125" s="179"/>
      <c r="F125" s="179"/>
      <c r="G125" s="179"/>
      <c r="H125" s="179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179"/>
      <c r="V125" s="179"/>
      <c r="W125" s="179"/>
      <c r="X125" s="179"/>
      <c r="Y125" s="179"/>
      <c r="Z125" s="179"/>
      <c r="AA125" s="179"/>
      <c r="AB125" s="179"/>
      <c r="AC125" s="179"/>
    </row>
    <row r="126" spans="1:29" s="12" customFormat="1" x14ac:dyDescent="0.3">
      <c r="A126" s="172"/>
      <c r="B126" s="179"/>
      <c r="C126" s="179"/>
      <c r="D126" s="179"/>
      <c r="E126" s="179"/>
      <c r="F126" s="179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179"/>
      <c r="W126" s="179"/>
      <c r="X126" s="179"/>
      <c r="Y126" s="179"/>
      <c r="Z126" s="179"/>
      <c r="AA126" s="179"/>
      <c r="AB126" s="179"/>
      <c r="AC126" s="179"/>
    </row>
    <row r="127" spans="1:29" s="12" customFormat="1" x14ac:dyDescent="0.3">
      <c r="A127" s="172"/>
      <c r="B127" s="179"/>
      <c r="C127" s="179"/>
      <c r="D127" s="179"/>
      <c r="E127" s="179"/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179"/>
      <c r="X127" s="179"/>
      <c r="Y127" s="179"/>
      <c r="Z127" s="179"/>
      <c r="AA127" s="179"/>
      <c r="AB127" s="179"/>
      <c r="AC127" s="179"/>
    </row>
    <row r="128" spans="1:29" s="12" customFormat="1" x14ac:dyDescent="0.3">
      <c r="A128" s="172"/>
      <c r="B128" s="179"/>
      <c r="C128" s="179"/>
      <c r="D128" s="179"/>
      <c r="E128" s="179"/>
      <c r="F128" s="179"/>
      <c r="G128" s="179"/>
      <c r="H128" s="179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179"/>
      <c r="X128" s="179"/>
      <c r="Y128" s="179"/>
      <c r="Z128" s="179"/>
      <c r="AA128" s="179"/>
      <c r="AB128" s="179"/>
      <c r="AC128" s="179"/>
    </row>
    <row r="129" spans="1:29" s="12" customFormat="1" x14ac:dyDescent="0.3">
      <c r="A129" s="172"/>
      <c r="B129" s="179"/>
      <c r="C129" s="179"/>
      <c r="D129" s="179"/>
      <c r="E129" s="179"/>
      <c r="F129" s="179"/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9"/>
      <c r="W129" s="179"/>
      <c r="X129" s="179"/>
      <c r="Y129" s="179"/>
      <c r="Z129" s="179"/>
      <c r="AA129" s="179"/>
      <c r="AB129" s="179"/>
      <c r="AC129" s="179"/>
    </row>
    <row r="130" spans="1:29" s="12" customFormat="1" x14ac:dyDescent="0.3">
      <c r="A130" s="172"/>
      <c r="B130" s="179"/>
      <c r="C130" s="179"/>
      <c r="D130" s="179"/>
      <c r="E130" s="179"/>
      <c r="F130" s="179"/>
      <c r="G130" s="179"/>
      <c r="H130" s="179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179"/>
      <c r="W130" s="179"/>
      <c r="X130" s="179"/>
      <c r="Y130" s="179"/>
      <c r="Z130" s="179"/>
      <c r="AA130" s="179"/>
      <c r="AB130" s="179"/>
      <c r="AC130" s="179"/>
    </row>
    <row r="131" spans="1:29" s="12" customFormat="1" x14ac:dyDescent="0.3">
      <c r="A131" s="172"/>
      <c r="B131" s="179"/>
      <c r="C131" s="179"/>
      <c r="D131" s="179"/>
      <c r="E131" s="179"/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179"/>
      <c r="X131" s="179"/>
      <c r="Y131" s="179"/>
      <c r="Z131" s="179"/>
      <c r="AA131" s="179"/>
      <c r="AB131" s="179"/>
      <c r="AC131" s="179"/>
    </row>
    <row r="132" spans="1:29" s="12" customFormat="1" x14ac:dyDescent="0.3">
      <c r="A132" s="172"/>
      <c r="B132" s="179"/>
      <c r="C132" s="179"/>
      <c r="D132" s="179"/>
      <c r="E132" s="179"/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  <c r="X132" s="179"/>
      <c r="Y132" s="179"/>
      <c r="Z132" s="179"/>
      <c r="AA132" s="179"/>
      <c r="AB132" s="179"/>
      <c r="AC132" s="179"/>
    </row>
    <row r="133" spans="1:29" s="12" customFormat="1" x14ac:dyDescent="0.3">
      <c r="A133" s="172"/>
      <c r="B133" s="179"/>
      <c r="C133" s="179"/>
      <c r="D133" s="179"/>
      <c r="E133" s="179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79"/>
      <c r="Z133" s="179"/>
      <c r="AA133" s="179"/>
      <c r="AB133" s="179"/>
      <c r="AC133" s="179"/>
    </row>
    <row r="134" spans="1:29" s="12" customFormat="1" x14ac:dyDescent="0.3">
      <c r="A134" s="172"/>
      <c r="B134" s="179"/>
      <c r="C134" s="179"/>
      <c r="D134" s="179"/>
      <c r="E134" s="179"/>
      <c r="F134" s="179"/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179"/>
      <c r="X134" s="179"/>
      <c r="Y134" s="179"/>
      <c r="Z134" s="179"/>
      <c r="AA134" s="179"/>
      <c r="AB134" s="179"/>
      <c r="AC134" s="179"/>
    </row>
    <row r="135" spans="1:29" s="12" customFormat="1" x14ac:dyDescent="0.3">
      <c r="A135" s="172"/>
      <c r="B135" s="179"/>
      <c r="C135" s="179"/>
      <c r="D135" s="179"/>
      <c r="E135" s="179"/>
      <c r="F135" s="179"/>
      <c r="G135" s="179"/>
      <c r="H135" s="179"/>
      <c r="I135" s="179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179"/>
      <c r="W135" s="179"/>
      <c r="X135" s="179"/>
      <c r="Y135" s="179"/>
      <c r="Z135" s="179"/>
      <c r="AA135" s="179"/>
      <c r="AB135" s="179"/>
      <c r="AC135" s="179"/>
    </row>
    <row r="136" spans="1:29" s="12" customFormat="1" x14ac:dyDescent="0.3">
      <c r="A136" s="172"/>
      <c r="B136" s="179"/>
      <c r="C136" s="179"/>
      <c r="D136" s="179"/>
      <c r="E136" s="179"/>
      <c r="F136" s="179"/>
      <c r="G136" s="179"/>
      <c r="H136" s="179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179"/>
      <c r="X136" s="179"/>
      <c r="Y136" s="179"/>
      <c r="Z136" s="179"/>
      <c r="AA136" s="179"/>
      <c r="AB136" s="179"/>
      <c r="AC136" s="179"/>
    </row>
    <row r="137" spans="1:29" s="12" customFormat="1" x14ac:dyDescent="0.3">
      <c r="A137" s="172"/>
      <c r="B137" s="179"/>
      <c r="C137" s="179"/>
      <c r="D137" s="179"/>
      <c r="E137" s="179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9"/>
      <c r="W137" s="179"/>
      <c r="X137" s="179"/>
      <c r="Y137" s="179"/>
      <c r="Z137" s="179"/>
      <c r="AA137" s="179"/>
      <c r="AB137" s="179"/>
      <c r="AC137" s="179"/>
    </row>
    <row r="138" spans="1:29" s="12" customFormat="1" x14ac:dyDescent="0.3">
      <c r="A138" s="172"/>
      <c r="B138" s="179"/>
      <c r="C138" s="179"/>
      <c r="D138" s="179"/>
      <c r="E138" s="179"/>
      <c r="F138" s="179"/>
      <c r="G138" s="179"/>
      <c r="H138" s="179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179"/>
      <c r="W138" s="179"/>
      <c r="X138" s="179"/>
      <c r="Y138" s="179"/>
      <c r="Z138" s="179"/>
      <c r="AA138" s="179"/>
      <c r="AB138" s="179"/>
      <c r="AC138" s="179"/>
    </row>
    <row r="139" spans="1:29" s="12" customFormat="1" x14ac:dyDescent="0.3">
      <c r="A139" s="172"/>
      <c r="B139" s="179"/>
      <c r="C139" s="179"/>
      <c r="D139" s="179"/>
      <c r="E139" s="179"/>
      <c r="F139" s="179"/>
      <c r="G139" s="179"/>
      <c r="H139" s="179"/>
      <c r="I139" s="179"/>
      <c r="J139" s="179"/>
      <c r="K139" s="179"/>
      <c r="L139" s="179"/>
      <c r="M139" s="179"/>
      <c r="N139" s="179"/>
      <c r="O139" s="179"/>
      <c r="P139" s="179"/>
      <c r="Q139" s="179"/>
      <c r="R139" s="179"/>
      <c r="S139" s="179"/>
      <c r="T139" s="179"/>
      <c r="U139" s="179"/>
      <c r="V139" s="179"/>
      <c r="W139" s="179"/>
      <c r="X139" s="179"/>
      <c r="Y139" s="179"/>
      <c r="Z139" s="179"/>
      <c r="AA139" s="179"/>
      <c r="AB139" s="179"/>
      <c r="AC139" s="179"/>
    </row>
    <row r="140" spans="1:29" s="12" customFormat="1" x14ac:dyDescent="0.3">
      <c r="A140" s="172"/>
      <c r="B140" s="172"/>
      <c r="C140" s="172"/>
      <c r="D140" s="172"/>
      <c r="E140" s="172"/>
      <c r="F140" s="172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172"/>
      <c r="T140" s="172"/>
      <c r="U140" s="172"/>
      <c r="V140" s="172"/>
      <c r="W140" s="172"/>
      <c r="X140" s="172"/>
      <c r="Y140" s="172"/>
      <c r="Z140" s="172"/>
      <c r="AA140" s="172"/>
      <c r="AB140" s="172"/>
      <c r="AC140" s="172"/>
    </row>
    <row r="141" spans="1:29" s="12" customFormat="1" x14ac:dyDescent="0.3">
      <c r="A141" s="172"/>
      <c r="B141" s="172"/>
      <c r="C141" s="172"/>
      <c r="D141" s="172"/>
      <c r="E141" s="172"/>
      <c r="F141" s="172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172"/>
      <c r="T141" s="172"/>
      <c r="U141" s="172"/>
      <c r="V141" s="172"/>
      <c r="W141" s="172"/>
      <c r="X141" s="172"/>
      <c r="Y141" s="172"/>
      <c r="Z141" s="172"/>
      <c r="AA141" s="172"/>
      <c r="AB141" s="172"/>
      <c r="AC141" s="172"/>
    </row>
    <row r="142" spans="1:29" s="81" customFormat="1" ht="25.5" customHeight="1" x14ac:dyDescent="0.3">
      <c r="A142" s="463"/>
      <c r="B142" s="464" t="s">
        <v>3</v>
      </c>
      <c r="C142" s="463"/>
      <c r="D142" s="463"/>
      <c r="E142" s="463"/>
      <c r="F142" s="463"/>
      <c r="G142" s="463"/>
      <c r="H142" s="463"/>
      <c r="I142" s="463"/>
      <c r="J142" s="463"/>
      <c r="K142" s="463"/>
      <c r="L142" s="463"/>
      <c r="M142" s="463"/>
      <c r="N142" s="463"/>
      <c r="O142" s="463"/>
      <c r="P142" s="463"/>
      <c r="Q142" s="463"/>
      <c r="R142" s="463"/>
      <c r="S142" s="463"/>
      <c r="T142" s="463"/>
      <c r="U142" s="463"/>
      <c r="V142" s="463"/>
      <c r="W142" s="463"/>
      <c r="X142" s="463"/>
      <c r="Y142" s="463"/>
      <c r="Z142" s="463"/>
      <c r="AA142" s="463"/>
      <c r="AB142" s="463"/>
      <c r="AC142" s="463"/>
    </row>
    <row r="143" spans="1:29" s="12" customFormat="1" x14ac:dyDescent="0.3">
      <c r="A143" s="172"/>
      <c r="B143" s="172"/>
      <c r="C143" s="172"/>
      <c r="D143" s="172"/>
      <c r="E143" s="172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172"/>
      <c r="T143" s="172"/>
      <c r="U143" s="172"/>
      <c r="V143" s="172"/>
      <c r="W143" s="172"/>
      <c r="X143" s="172"/>
      <c r="Y143" s="172"/>
      <c r="Z143" s="172"/>
      <c r="AA143" s="172"/>
      <c r="AB143" s="172"/>
      <c r="AC143" s="172"/>
    </row>
    <row r="144" spans="1:29" s="12" customFormat="1" x14ac:dyDescent="0.3">
      <c r="A144" s="172"/>
      <c r="B144" s="172"/>
      <c r="C144" s="172"/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  <c r="U144" s="172"/>
      <c r="V144" s="172"/>
      <c r="W144" s="172"/>
      <c r="X144" s="172"/>
      <c r="Y144" s="172"/>
      <c r="Z144" s="172"/>
      <c r="AA144" s="172"/>
      <c r="AB144" s="172"/>
      <c r="AC144" s="172"/>
    </row>
    <row r="145" spans="1:29" s="12" customFormat="1" x14ac:dyDescent="0.3">
      <c r="A145" s="172"/>
      <c r="B145" s="179"/>
      <c r="C145" s="179"/>
      <c r="D145" s="179"/>
      <c r="E145" s="179"/>
      <c r="F145" s="179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179"/>
      <c r="X145" s="179"/>
      <c r="Y145" s="179"/>
      <c r="Z145" s="179"/>
      <c r="AA145" s="179"/>
      <c r="AB145" s="179"/>
      <c r="AC145" s="172"/>
    </row>
    <row r="146" spans="1:29" s="12" customFormat="1" x14ac:dyDescent="0.3">
      <c r="A146" s="172"/>
      <c r="B146" s="179"/>
      <c r="C146" s="179"/>
      <c r="D146" s="179"/>
      <c r="E146" s="179"/>
      <c r="F146" s="179"/>
      <c r="G146" s="179"/>
      <c r="H146" s="179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179"/>
      <c r="W146" s="179"/>
      <c r="X146" s="179"/>
      <c r="Y146" s="179"/>
      <c r="Z146" s="179"/>
      <c r="AA146" s="179"/>
      <c r="AB146" s="179"/>
      <c r="AC146" s="172"/>
    </row>
    <row r="147" spans="1:29" s="12" customFormat="1" x14ac:dyDescent="0.3">
      <c r="A147" s="172"/>
      <c r="B147" s="179"/>
      <c r="C147" s="179"/>
      <c r="D147" s="179"/>
      <c r="E147" s="179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  <c r="AA147" s="179"/>
      <c r="AB147" s="179"/>
      <c r="AC147" s="172"/>
    </row>
    <row r="148" spans="1:29" s="12" customFormat="1" x14ac:dyDescent="0.3">
      <c r="A148" s="172"/>
      <c r="B148" s="179"/>
      <c r="C148" s="179"/>
      <c r="D148" s="179"/>
      <c r="E148" s="179"/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179"/>
      <c r="X148" s="179"/>
      <c r="Y148" s="179"/>
      <c r="Z148" s="179"/>
      <c r="AA148" s="179"/>
      <c r="AB148" s="179"/>
      <c r="AC148" s="172"/>
    </row>
    <row r="149" spans="1:29" s="12" customFormat="1" x14ac:dyDescent="0.3">
      <c r="A149" s="172"/>
      <c r="B149" s="179"/>
      <c r="C149" s="179"/>
      <c r="D149" s="179"/>
      <c r="E149" s="179"/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  <c r="X149" s="179"/>
      <c r="Y149" s="179"/>
      <c r="Z149" s="179"/>
      <c r="AA149" s="179"/>
      <c r="AB149" s="179"/>
      <c r="AC149" s="172"/>
    </row>
    <row r="150" spans="1:29" s="12" customFormat="1" x14ac:dyDescent="0.3">
      <c r="A150" s="172"/>
      <c r="B150" s="179"/>
      <c r="C150" s="179"/>
      <c r="D150" s="179"/>
      <c r="E150" s="179"/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  <c r="X150" s="179"/>
      <c r="Y150" s="179"/>
      <c r="Z150" s="179"/>
      <c r="AA150" s="179"/>
      <c r="AB150" s="179"/>
      <c r="AC150" s="172"/>
    </row>
    <row r="151" spans="1:29" s="12" customFormat="1" x14ac:dyDescent="0.3">
      <c r="A151" s="172"/>
      <c r="B151" s="179"/>
      <c r="C151" s="179"/>
      <c r="D151" s="179"/>
      <c r="E151" s="179"/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  <c r="X151" s="179"/>
      <c r="Y151" s="179"/>
      <c r="Z151" s="179"/>
      <c r="AA151" s="179"/>
      <c r="AB151" s="179"/>
      <c r="AC151" s="172"/>
    </row>
    <row r="152" spans="1:29" s="12" customFormat="1" x14ac:dyDescent="0.3">
      <c r="A152" s="172"/>
      <c r="B152" s="179"/>
      <c r="C152" s="179"/>
      <c r="D152" s="179"/>
      <c r="E152" s="179"/>
      <c r="F152" s="179"/>
      <c r="G152" s="179"/>
      <c r="H152" s="179"/>
      <c r="I152" s="179"/>
      <c r="J152" s="179"/>
      <c r="K152" s="179"/>
      <c r="L152" s="179"/>
      <c r="M152" s="179"/>
      <c r="N152" s="179"/>
      <c r="O152" s="179"/>
      <c r="P152" s="179"/>
      <c r="Q152" s="179"/>
      <c r="R152" s="179"/>
      <c r="S152" s="179"/>
      <c r="T152" s="179"/>
      <c r="U152" s="179"/>
      <c r="V152" s="179"/>
      <c r="W152" s="179"/>
      <c r="X152" s="179"/>
      <c r="Y152" s="179"/>
      <c r="Z152" s="179"/>
      <c r="AA152" s="179"/>
      <c r="AB152" s="179"/>
      <c r="AC152" s="172"/>
    </row>
    <row r="153" spans="1:29" s="12" customFormat="1" x14ac:dyDescent="0.3">
      <c r="A153" s="172"/>
      <c r="B153" s="179"/>
      <c r="C153" s="179"/>
      <c r="D153" s="179"/>
      <c r="E153" s="179"/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79"/>
      <c r="X153" s="179"/>
      <c r="Y153" s="179"/>
      <c r="Z153" s="179"/>
      <c r="AA153" s="179"/>
      <c r="AB153" s="179"/>
      <c r="AC153" s="172"/>
    </row>
    <row r="154" spans="1:29" s="12" customFormat="1" x14ac:dyDescent="0.3">
      <c r="A154" s="172"/>
      <c r="B154" s="179"/>
      <c r="C154" s="179"/>
      <c r="D154" s="179"/>
      <c r="E154" s="179"/>
      <c r="F154" s="179"/>
      <c r="G154" s="179"/>
      <c r="H154" s="179"/>
      <c r="I154" s="179"/>
      <c r="J154" s="179"/>
      <c r="K154" s="179"/>
      <c r="L154" s="179"/>
      <c r="M154" s="179"/>
      <c r="N154" s="179"/>
      <c r="O154" s="179"/>
      <c r="P154" s="179"/>
      <c r="Q154" s="179"/>
      <c r="R154" s="179"/>
      <c r="S154" s="179"/>
      <c r="T154" s="179"/>
      <c r="U154" s="179"/>
      <c r="V154" s="179"/>
      <c r="W154" s="179"/>
      <c r="X154" s="179"/>
      <c r="Y154" s="179"/>
      <c r="Z154" s="179"/>
      <c r="AA154" s="179"/>
      <c r="AB154" s="179"/>
      <c r="AC154" s="172"/>
    </row>
    <row r="155" spans="1:29" s="12" customFormat="1" x14ac:dyDescent="0.3">
      <c r="A155" s="172"/>
      <c r="B155" s="179"/>
      <c r="C155" s="179"/>
      <c r="D155" s="179"/>
      <c r="E155" s="179"/>
      <c r="F155" s="179"/>
      <c r="G155" s="179"/>
      <c r="H155" s="179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  <c r="T155" s="179"/>
      <c r="U155" s="179"/>
      <c r="V155" s="179"/>
      <c r="W155" s="179"/>
      <c r="X155" s="179"/>
      <c r="Y155" s="179"/>
      <c r="Z155" s="179"/>
      <c r="AA155" s="179"/>
      <c r="AB155" s="179"/>
      <c r="AC155" s="172"/>
    </row>
    <row r="156" spans="1:29" s="12" customFormat="1" x14ac:dyDescent="0.3">
      <c r="A156" s="172"/>
      <c r="B156" s="179"/>
      <c r="C156" s="179"/>
      <c r="D156" s="179"/>
      <c r="E156" s="179"/>
      <c r="F156" s="179"/>
      <c r="G156" s="179"/>
      <c r="H156" s="179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79"/>
      <c r="T156" s="179"/>
      <c r="U156" s="179"/>
      <c r="V156" s="179"/>
      <c r="W156" s="179"/>
      <c r="X156" s="179"/>
      <c r="Y156" s="179"/>
      <c r="Z156" s="179"/>
      <c r="AA156" s="179"/>
      <c r="AB156" s="179"/>
      <c r="AC156" s="172"/>
    </row>
    <row r="157" spans="1:29" s="12" customFormat="1" x14ac:dyDescent="0.3">
      <c r="A157" s="172"/>
      <c r="B157" s="179"/>
      <c r="C157" s="179"/>
      <c r="D157" s="179"/>
      <c r="E157" s="179"/>
      <c r="F157" s="179"/>
      <c r="G157" s="179"/>
      <c r="H157" s="179"/>
      <c r="I157" s="179"/>
      <c r="J157" s="179"/>
      <c r="K157" s="179"/>
      <c r="L157" s="179"/>
      <c r="M157" s="179"/>
      <c r="N157" s="179"/>
      <c r="O157" s="179"/>
      <c r="P157" s="179"/>
      <c r="Q157" s="179"/>
      <c r="R157" s="179"/>
      <c r="S157" s="179"/>
      <c r="T157" s="179"/>
      <c r="U157" s="179"/>
      <c r="V157" s="179"/>
      <c r="W157" s="179"/>
      <c r="X157" s="179"/>
      <c r="Y157" s="179"/>
      <c r="Z157" s="179"/>
      <c r="AA157" s="179"/>
      <c r="AB157" s="179"/>
      <c r="AC157" s="172"/>
    </row>
    <row r="158" spans="1:29" s="12" customFormat="1" x14ac:dyDescent="0.3">
      <c r="A158" s="172"/>
      <c r="B158" s="179"/>
      <c r="C158" s="179"/>
      <c r="D158" s="179"/>
      <c r="E158" s="179"/>
      <c r="F158" s="179"/>
      <c r="G158" s="179"/>
      <c r="H158" s="179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S158" s="179"/>
      <c r="T158" s="179"/>
      <c r="U158" s="179"/>
      <c r="V158" s="179"/>
      <c r="W158" s="179"/>
      <c r="X158" s="179"/>
      <c r="Y158" s="179"/>
      <c r="Z158" s="179"/>
      <c r="AA158" s="179"/>
      <c r="AB158" s="179"/>
      <c r="AC158" s="172"/>
    </row>
    <row r="159" spans="1:29" s="12" customFormat="1" x14ac:dyDescent="0.3">
      <c r="A159" s="172"/>
      <c r="B159" s="179"/>
      <c r="C159" s="179"/>
      <c r="D159" s="179"/>
      <c r="E159" s="179"/>
      <c r="F159" s="179"/>
      <c r="G159" s="179"/>
      <c r="H159" s="179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S159" s="179"/>
      <c r="T159" s="179"/>
      <c r="U159" s="179"/>
      <c r="V159" s="179"/>
      <c r="W159" s="179"/>
      <c r="X159" s="179"/>
      <c r="Y159" s="179"/>
      <c r="Z159" s="179"/>
      <c r="AA159" s="179"/>
      <c r="AB159" s="179"/>
      <c r="AC159" s="172"/>
    </row>
    <row r="160" spans="1:29" s="12" customFormat="1" x14ac:dyDescent="0.3">
      <c r="A160" s="172"/>
      <c r="B160" s="179"/>
      <c r="C160" s="179"/>
      <c r="D160" s="179"/>
      <c r="E160" s="179"/>
      <c r="F160" s="179"/>
      <c r="G160" s="179"/>
      <c r="H160" s="179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  <c r="S160" s="179"/>
      <c r="T160" s="179"/>
      <c r="U160" s="179"/>
      <c r="V160" s="179"/>
      <c r="W160" s="179"/>
      <c r="X160" s="179"/>
      <c r="Y160" s="179"/>
      <c r="Z160" s="179"/>
      <c r="AA160" s="179"/>
      <c r="AB160" s="179"/>
      <c r="AC160" s="172"/>
    </row>
    <row r="161" spans="1:29" s="12" customFormat="1" x14ac:dyDescent="0.3">
      <c r="A161" s="172"/>
      <c r="B161" s="179"/>
      <c r="C161" s="179"/>
      <c r="D161" s="179"/>
      <c r="E161" s="179"/>
      <c r="F161" s="179"/>
      <c r="G161" s="179"/>
      <c r="H161" s="179"/>
      <c r="I161" s="179"/>
      <c r="J161" s="179"/>
      <c r="K161" s="179"/>
      <c r="L161" s="179"/>
      <c r="M161" s="179"/>
      <c r="N161" s="179"/>
      <c r="O161" s="179"/>
      <c r="P161" s="179"/>
      <c r="Q161" s="179"/>
      <c r="R161" s="179"/>
      <c r="S161" s="179"/>
      <c r="T161" s="179"/>
      <c r="U161" s="179"/>
      <c r="V161" s="179"/>
      <c r="W161" s="179"/>
      <c r="X161" s="179"/>
      <c r="Y161" s="179"/>
      <c r="Z161" s="179"/>
      <c r="AA161" s="179"/>
      <c r="AB161" s="179"/>
      <c r="AC161" s="172"/>
    </row>
    <row r="162" spans="1:29" s="12" customFormat="1" x14ac:dyDescent="0.3">
      <c r="A162" s="172"/>
      <c r="B162" s="179"/>
      <c r="C162" s="179"/>
      <c r="D162" s="179"/>
      <c r="E162" s="179"/>
      <c r="F162" s="179"/>
      <c r="G162" s="179"/>
      <c r="H162" s="179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  <c r="S162" s="179"/>
      <c r="T162" s="179"/>
      <c r="U162" s="179"/>
      <c r="V162" s="179"/>
      <c r="W162" s="179"/>
      <c r="X162" s="179"/>
      <c r="Y162" s="179"/>
      <c r="Z162" s="179"/>
      <c r="AA162" s="179"/>
      <c r="AB162" s="179"/>
      <c r="AC162" s="172"/>
    </row>
    <row r="163" spans="1:29" s="12" customFormat="1" x14ac:dyDescent="0.3">
      <c r="A163" s="172"/>
      <c r="B163" s="179"/>
      <c r="C163" s="179"/>
      <c r="D163" s="179"/>
      <c r="E163" s="179"/>
      <c r="F163" s="179"/>
      <c r="G163" s="179"/>
      <c r="H163" s="179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79"/>
      <c r="T163" s="179"/>
      <c r="U163" s="179"/>
      <c r="V163" s="179"/>
      <c r="W163" s="179"/>
      <c r="X163" s="179"/>
      <c r="Y163" s="179"/>
      <c r="Z163" s="179"/>
      <c r="AA163" s="179"/>
      <c r="AB163" s="179"/>
      <c r="AC163" s="172"/>
    </row>
    <row r="164" spans="1:29" s="12" customFormat="1" x14ac:dyDescent="0.3">
      <c r="A164" s="172"/>
      <c r="B164" s="179"/>
      <c r="C164" s="179"/>
      <c r="D164" s="179"/>
      <c r="E164" s="179"/>
      <c r="F164" s="179"/>
      <c r="G164" s="179"/>
      <c r="H164" s="179"/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S164" s="179"/>
      <c r="T164" s="179"/>
      <c r="U164" s="179"/>
      <c r="V164" s="179"/>
      <c r="W164" s="179"/>
      <c r="X164" s="179"/>
      <c r="Y164" s="179"/>
      <c r="Z164" s="179"/>
      <c r="AA164" s="179"/>
      <c r="AB164" s="179"/>
      <c r="AC164" s="172"/>
    </row>
    <row r="165" spans="1:29" s="12" customFormat="1" x14ac:dyDescent="0.3">
      <c r="A165" s="172"/>
      <c r="B165" s="179"/>
      <c r="C165" s="179"/>
      <c r="D165" s="179"/>
      <c r="E165" s="179"/>
      <c r="F165" s="179"/>
      <c r="G165" s="179"/>
      <c r="H165" s="179"/>
      <c r="I165" s="179"/>
      <c r="J165" s="179"/>
      <c r="K165" s="179"/>
      <c r="L165" s="179"/>
      <c r="M165" s="179"/>
      <c r="N165" s="179"/>
      <c r="O165" s="179"/>
      <c r="P165" s="179"/>
      <c r="Q165" s="179"/>
      <c r="R165" s="179"/>
      <c r="S165" s="179"/>
      <c r="T165" s="179"/>
      <c r="U165" s="179"/>
      <c r="V165" s="179"/>
      <c r="W165" s="179"/>
      <c r="X165" s="179"/>
      <c r="Y165" s="179"/>
      <c r="Z165" s="179"/>
      <c r="AA165" s="179"/>
      <c r="AB165" s="179"/>
      <c r="AC165" s="172"/>
    </row>
    <row r="166" spans="1:29" s="12" customFormat="1" x14ac:dyDescent="0.3">
      <c r="A166" s="172"/>
      <c r="B166" s="179"/>
      <c r="C166" s="179"/>
      <c r="D166" s="179"/>
      <c r="E166" s="179"/>
      <c r="F166" s="179"/>
      <c r="G166" s="179"/>
      <c r="H166" s="179"/>
      <c r="I166" s="179"/>
      <c r="J166" s="179"/>
      <c r="K166" s="179"/>
      <c r="L166" s="179"/>
      <c r="M166" s="179"/>
      <c r="N166" s="179"/>
      <c r="O166" s="179"/>
      <c r="P166" s="179"/>
      <c r="Q166" s="179"/>
      <c r="R166" s="179"/>
      <c r="S166" s="179"/>
      <c r="T166" s="179"/>
      <c r="U166" s="179"/>
      <c r="V166" s="179"/>
      <c r="W166" s="179"/>
      <c r="X166" s="179"/>
      <c r="Y166" s="179"/>
      <c r="Z166" s="179"/>
      <c r="AA166" s="179"/>
      <c r="AB166" s="179"/>
      <c r="AC166" s="172"/>
    </row>
    <row r="167" spans="1:29" s="12" customFormat="1" x14ac:dyDescent="0.3">
      <c r="A167" s="172"/>
      <c r="B167" s="179"/>
      <c r="C167" s="179"/>
      <c r="D167" s="179"/>
      <c r="E167" s="179"/>
      <c r="F167" s="179"/>
      <c r="G167" s="179"/>
      <c r="H167" s="179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179"/>
      <c r="V167" s="179"/>
      <c r="W167" s="179"/>
      <c r="X167" s="179"/>
      <c r="Y167" s="179"/>
      <c r="Z167" s="179"/>
      <c r="AA167" s="179"/>
      <c r="AB167" s="179"/>
      <c r="AC167" s="172"/>
    </row>
    <row r="168" spans="1:29" s="12" customFormat="1" x14ac:dyDescent="0.3">
      <c r="A168" s="172"/>
      <c r="B168" s="179"/>
      <c r="C168" s="179"/>
      <c r="D168" s="179"/>
      <c r="E168" s="179"/>
      <c r="F168" s="179"/>
      <c r="G168" s="179"/>
      <c r="H168" s="179"/>
      <c r="I168" s="179"/>
      <c r="J168" s="179"/>
      <c r="K168" s="179"/>
      <c r="L168" s="179"/>
      <c r="M168" s="179"/>
      <c r="N168" s="179"/>
      <c r="O168" s="179"/>
      <c r="P168" s="179"/>
      <c r="Q168" s="179"/>
      <c r="R168" s="179"/>
      <c r="S168" s="179"/>
      <c r="T168" s="179"/>
      <c r="U168" s="179"/>
      <c r="V168" s="179"/>
      <c r="W168" s="179"/>
      <c r="X168" s="179"/>
      <c r="Y168" s="179"/>
      <c r="Z168" s="179"/>
      <c r="AA168" s="179"/>
      <c r="AB168" s="179"/>
      <c r="AC168" s="172"/>
    </row>
    <row r="169" spans="1:29" s="12" customFormat="1" x14ac:dyDescent="0.3">
      <c r="A169" s="172"/>
      <c r="B169" s="179"/>
      <c r="C169" s="179"/>
      <c r="D169" s="179"/>
      <c r="E169" s="179"/>
      <c r="F169" s="179"/>
      <c r="G169" s="179"/>
      <c r="H169" s="179"/>
      <c r="I169" s="179"/>
      <c r="J169" s="179"/>
      <c r="K169" s="179"/>
      <c r="L169" s="179"/>
      <c r="M169" s="179"/>
      <c r="N169" s="179"/>
      <c r="O169" s="179"/>
      <c r="P169" s="179"/>
      <c r="Q169" s="179"/>
      <c r="R169" s="179"/>
      <c r="S169" s="179"/>
      <c r="T169" s="179"/>
      <c r="U169" s="179"/>
      <c r="V169" s="179"/>
      <c r="W169" s="179"/>
      <c r="X169" s="179"/>
      <c r="Y169" s="179"/>
      <c r="Z169" s="179"/>
      <c r="AA169" s="179"/>
      <c r="AB169" s="179"/>
      <c r="AC169" s="172"/>
    </row>
    <row r="170" spans="1:29" s="12" customFormat="1" x14ac:dyDescent="0.3">
      <c r="A170" s="172"/>
      <c r="B170" s="465"/>
      <c r="C170" s="465"/>
      <c r="D170" s="465"/>
      <c r="E170" s="465"/>
      <c r="F170" s="465"/>
      <c r="G170" s="465"/>
      <c r="H170" s="465"/>
      <c r="I170" s="465"/>
      <c r="J170" s="465"/>
      <c r="K170" s="465"/>
      <c r="L170" s="465"/>
      <c r="M170" s="465"/>
      <c r="N170" s="465"/>
      <c r="O170" s="465"/>
      <c r="P170" s="465"/>
      <c r="Q170" s="465"/>
      <c r="R170" s="465"/>
      <c r="S170" s="465"/>
      <c r="T170" s="465"/>
      <c r="U170" s="465"/>
      <c r="V170" s="465"/>
      <c r="W170" s="465"/>
      <c r="X170" s="465"/>
      <c r="Y170" s="465"/>
      <c r="Z170" s="465"/>
      <c r="AA170" s="465"/>
      <c r="AB170" s="465"/>
      <c r="AC170" s="172"/>
    </row>
    <row r="171" spans="1:29" s="12" customFormat="1" x14ac:dyDescent="0.3">
      <c r="A171" s="172"/>
      <c r="B171" s="179"/>
      <c r="C171" s="179"/>
      <c r="D171" s="179"/>
      <c r="E171" s="179"/>
      <c r="F171" s="179"/>
      <c r="G171" s="179"/>
      <c r="H171" s="179"/>
      <c r="I171" s="179"/>
      <c r="J171" s="179"/>
      <c r="K171" s="179"/>
      <c r="L171" s="179"/>
      <c r="M171" s="179"/>
      <c r="N171" s="179"/>
      <c r="O171" s="179"/>
      <c r="P171" s="179"/>
      <c r="Q171" s="179"/>
      <c r="R171" s="179"/>
      <c r="S171" s="179"/>
      <c r="T171" s="179"/>
      <c r="U171" s="179"/>
      <c r="V171" s="179"/>
      <c r="W171" s="179"/>
      <c r="X171" s="179"/>
      <c r="Y171" s="179"/>
      <c r="Z171" s="179"/>
      <c r="AA171" s="179"/>
      <c r="AB171" s="179"/>
      <c r="AC171" s="172"/>
    </row>
    <row r="172" spans="1:29" s="12" customFormat="1" x14ac:dyDescent="0.3">
      <c r="A172" s="172"/>
      <c r="B172" s="179"/>
      <c r="C172" s="179"/>
      <c r="D172" s="179"/>
      <c r="E172" s="179"/>
      <c r="F172" s="179"/>
      <c r="G172" s="179"/>
      <c r="H172" s="179"/>
      <c r="I172" s="179"/>
      <c r="J172" s="179"/>
      <c r="K172" s="179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179"/>
      <c r="W172" s="179"/>
      <c r="X172" s="179"/>
      <c r="Y172" s="179"/>
      <c r="Z172" s="179"/>
      <c r="AA172" s="179"/>
      <c r="AB172" s="179"/>
      <c r="AC172" s="172"/>
    </row>
    <row r="173" spans="1:29" s="12" customFormat="1" x14ac:dyDescent="0.3">
      <c r="A173" s="172"/>
      <c r="B173" s="179"/>
      <c r="C173" s="179"/>
      <c r="D173" s="179"/>
      <c r="E173" s="179"/>
      <c r="F173" s="179"/>
      <c r="G173" s="179"/>
      <c r="H173" s="179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179"/>
      <c r="W173" s="179"/>
      <c r="X173" s="179"/>
      <c r="Y173" s="179"/>
      <c r="Z173" s="179"/>
      <c r="AA173" s="179"/>
      <c r="AB173" s="179"/>
      <c r="AC173" s="172"/>
    </row>
    <row r="174" spans="1:29" s="12" customFormat="1" x14ac:dyDescent="0.3">
      <c r="A174" s="172"/>
      <c r="B174" s="179"/>
      <c r="C174" s="179"/>
      <c r="D174" s="179"/>
      <c r="E174" s="179"/>
      <c r="F174" s="179"/>
      <c r="G174" s="179"/>
      <c r="H174" s="179"/>
      <c r="I174" s="179"/>
      <c r="J174" s="179"/>
      <c r="K174" s="179"/>
      <c r="L174" s="179"/>
      <c r="M174" s="179"/>
      <c r="N174" s="179"/>
      <c r="O174" s="179"/>
      <c r="P174" s="179"/>
      <c r="Q174" s="179"/>
      <c r="R174" s="179"/>
      <c r="S174" s="179"/>
      <c r="T174" s="179"/>
      <c r="U174" s="179"/>
      <c r="V174" s="179"/>
      <c r="W174" s="179"/>
      <c r="X174" s="179"/>
      <c r="Y174" s="179"/>
      <c r="Z174" s="179"/>
      <c r="AA174" s="179"/>
      <c r="AB174" s="179"/>
      <c r="AC174" s="172"/>
    </row>
    <row r="175" spans="1:29" s="12" customFormat="1" x14ac:dyDescent="0.3">
      <c r="A175" s="172"/>
      <c r="B175" s="179"/>
      <c r="C175" s="179"/>
      <c r="D175" s="179"/>
      <c r="E175" s="179"/>
      <c r="F175" s="179"/>
      <c r="G175" s="1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  <c r="X175" s="179"/>
      <c r="Y175" s="179"/>
      <c r="Z175" s="179"/>
      <c r="AA175" s="179"/>
      <c r="AB175" s="179"/>
      <c r="AC175" s="172"/>
    </row>
    <row r="176" spans="1:29" s="12" customFormat="1" x14ac:dyDescent="0.3">
      <c r="A176" s="172"/>
      <c r="B176" s="179"/>
      <c r="C176" s="179"/>
      <c r="D176" s="179"/>
      <c r="E176" s="179"/>
      <c r="F176" s="179"/>
      <c r="G176" s="179"/>
      <c r="H176" s="179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179"/>
      <c r="W176" s="179"/>
      <c r="X176" s="179"/>
      <c r="Y176" s="179"/>
      <c r="Z176" s="179"/>
      <c r="AA176" s="179"/>
      <c r="AB176" s="179"/>
      <c r="AC176" s="172"/>
    </row>
    <row r="177" spans="1:29" s="12" customFormat="1" x14ac:dyDescent="0.3">
      <c r="A177" s="172"/>
      <c r="B177" s="179"/>
      <c r="C177" s="179"/>
      <c r="D177" s="179"/>
      <c r="E177" s="179"/>
      <c r="F177" s="179"/>
      <c r="G177" s="179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  <c r="W177" s="179"/>
      <c r="X177" s="179"/>
      <c r="Y177" s="179"/>
      <c r="Z177" s="179"/>
      <c r="AA177" s="179"/>
      <c r="AB177" s="179"/>
      <c r="AC177" s="172"/>
    </row>
    <row r="178" spans="1:29" s="12" customFormat="1" x14ac:dyDescent="0.3">
      <c r="A178" s="172"/>
      <c r="B178" s="179"/>
      <c r="C178" s="179"/>
      <c r="D178" s="179"/>
      <c r="E178" s="179"/>
      <c r="F178" s="179"/>
      <c r="G178" s="179"/>
      <c r="H178" s="179"/>
      <c r="I178" s="179"/>
      <c r="J178" s="179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  <c r="AA178" s="179"/>
      <c r="AB178" s="179"/>
      <c r="AC178" s="172"/>
    </row>
    <row r="179" spans="1:29" s="12" customFormat="1" x14ac:dyDescent="0.3">
      <c r="A179" s="172"/>
      <c r="B179" s="179"/>
      <c r="C179" s="179"/>
      <c r="D179" s="179"/>
      <c r="E179" s="179"/>
      <c r="F179" s="179"/>
      <c r="G179" s="179"/>
      <c r="H179" s="179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  <c r="S179" s="179"/>
      <c r="T179" s="179"/>
      <c r="U179" s="179"/>
      <c r="V179" s="179"/>
      <c r="W179" s="179"/>
      <c r="X179" s="179"/>
      <c r="Y179" s="179"/>
      <c r="Z179" s="179"/>
      <c r="AA179" s="179"/>
      <c r="AB179" s="179"/>
      <c r="AC179" s="172"/>
    </row>
    <row r="180" spans="1:29" s="12" customFormat="1" x14ac:dyDescent="0.3">
      <c r="A180" s="172"/>
      <c r="B180" s="179"/>
      <c r="C180" s="179"/>
      <c r="D180" s="179"/>
      <c r="E180" s="179"/>
      <c r="F180" s="179"/>
      <c r="G180" s="179"/>
      <c r="H180" s="179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79"/>
      <c r="W180" s="179"/>
      <c r="X180" s="179"/>
      <c r="Y180" s="179"/>
      <c r="Z180" s="179"/>
      <c r="AA180" s="179"/>
      <c r="AB180" s="179"/>
      <c r="AC180" s="172"/>
    </row>
    <row r="181" spans="1:29" s="12" customFormat="1" x14ac:dyDescent="0.3">
      <c r="A181" s="172"/>
      <c r="B181" s="179"/>
      <c r="C181" s="179"/>
      <c r="D181" s="179"/>
      <c r="E181" s="179"/>
      <c r="F181" s="179"/>
      <c r="G181" s="179"/>
      <c r="H181" s="179"/>
      <c r="I181" s="179"/>
      <c r="J181" s="179"/>
      <c r="K181" s="179"/>
      <c r="L181" s="179"/>
      <c r="M181" s="179"/>
      <c r="N181" s="179"/>
      <c r="O181" s="179"/>
      <c r="P181" s="179"/>
      <c r="Q181" s="179"/>
      <c r="R181" s="179"/>
      <c r="S181" s="179"/>
      <c r="T181" s="179"/>
      <c r="U181" s="179"/>
      <c r="V181" s="179"/>
      <c r="W181" s="179"/>
      <c r="X181" s="179"/>
      <c r="Y181" s="179"/>
      <c r="Z181" s="179"/>
      <c r="AA181" s="179"/>
      <c r="AB181" s="179"/>
      <c r="AC181" s="172"/>
    </row>
    <row r="182" spans="1:29" s="12" customFormat="1" x14ac:dyDescent="0.3">
      <c r="A182" s="172"/>
      <c r="B182" s="179"/>
      <c r="C182" s="179"/>
      <c r="D182" s="179"/>
      <c r="E182" s="179"/>
      <c r="F182" s="179"/>
      <c r="G182" s="179"/>
      <c r="H182" s="179"/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S182" s="179"/>
      <c r="T182" s="179"/>
      <c r="U182" s="179"/>
      <c r="V182" s="179"/>
      <c r="W182" s="179"/>
      <c r="X182" s="179"/>
      <c r="Y182" s="179"/>
      <c r="Z182" s="179"/>
      <c r="AA182" s="179"/>
      <c r="AB182" s="179"/>
      <c r="AC182" s="172"/>
    </row>
    <row r="183" spans="1:29" s="12" customFormat="1" x14ac:dyDescent="0.3">
      <c r="A183" s="172"/>
      <c r="B183" s="179"/>
      <c r="C183" s="179"/>
      <c r="D183" s="179"/>
      <c r="E183" s="179"/>
      <c r="F183" s="179"/>
      <c r="G183" s="179"/>
      <c r="H183" s="179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S183" s="179"/>
      <c r="T183" s="179"/>
      <c r="U183" s="179"/>
      <c r="V183" s="179"/>
      <c r="W183" s="179"/>
      <c r="X183" s="179"/>
      <c r="Y183" s="179"/>
      <c r="Z183" s="179"/>
      <c r="AA183" s="179"/>
      <c r="AB183" s="179"/>
      <c r="AC183" s="172"/>
    </row>
    <row r="184" spans="1:29" s="12" customFormat="1" x14ac:dyDescent="0.3">
      <c r="A184" s="172"/>
      <c r="B184" s="179"/>
      <c r="C184" s="179"/>
      <c r="D184" s="179"/>
      <c r="E184" s="179"/>
      <c r="F184" s="179"/>
      <c r="G184" s="179"/>
      <c r="H184" s="179"/>
      <c r="I184" s="179"/>
      <c r="J184" s="179"/>
      <c r="K184" s="179"/>
      <c r="L184" s="179"/>
      <c r="M184" s="179"/>
      <c r="N184" s="179"/>
      <c r="O184" s="179"/>
      <c r="P184" s="179"/>
      <c r="Q184" s="179"/>
      <c r="R184" s="179"/>
      <c r="S184" s="179"/>
      <c r="T184" s="179"/>
      <c r="U184" s="179"/>
      <c r="V184" s="179"/>
      <c r="W184" s="179"/>
      <c r="X184" s="179"/>
      <c r="Y184" s="179"/>
      <c r="Z184" s="179"/>
      <c r="AA184" s="179"/>
      <c r="AB184" s="179"/>
      <c r="AC184" s="172"/>
    </row>
    <row r="185" spans="1:29" s="12" customFormat="1" x14ac:dyDescent="0.3">
      <c r="A185" s="172"/>
      <c r="B185" s="179"/>
      <c r="C185" s="179"/>
      <c r="D185" s="179"/>
      <c r="E185" s="179"/>
      <c r="F185" s="179"/>
      <c r="G185" s="179"/>
      <c r="H185" s="179"/>
      <c r="I185" s="179"/>
      <c r="J185" s="179"/>
      <c r="K185" s="179"/>
      <c r="L185" s="179"/>
      <c r="M185" s="179"/>
      <c r="N185" s="179"/>
      <c r="O185" s="179"/>
      <c r="P185" s="179"/>
      <c r="Q185" s="179"/>
      <c r="R185" s="179"/>
      <c r="S185" s="179"/>
      <c r="T185" s="179"/>
      <c r="U185" s="179"/>
      <c r="V185" s="179"/>
      <c r="W185" s="179"/>
      <c r="X185" s="179"/>
      <c r="Y185" s="179"/>
      <c r="Z185" s="179"/>
      <c r="AA185" s="179"/>
      <c r="AB185" s="179"/>
      <c r="AC185" s="172"/>
    </row>
    <row r="186" spans="1:29" s="12" customFormat="1" x14ac:dyDescent="0.3">
      <c r="A186" s="172"/>
      <c r="B186" s="179"/>
      <c r="C186" s="179"/>
      <c r="D186" s="179"/>
      <c r="E186" s="179"/>
      <c r="F186" s="179"/>
      <c r="G186" s="179"/>
      <c r="H186" s="179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  <c r="W186" s="179"/>
      <c r="X186" s="179"/>
      <c r="Y186" s="179"/>
      <c r="Z186" s="179"/>
      <c r="AA186" s="179"/>
      <c r="AB186" s="179"/>
      <c r="AC186" s="172"/>
    </row>
    <row r="187" spans="1:29" s="12" customFormat="1" x14ac:dyDescent="0.3">
      <c r="A187" s="172"/>
      <c r="B187" s="179"/>
      <c r="C187" s="179"/>
      <c r="D187" s="179"/>
      <c r="E187" s="179"/>
      <c r="F187" s="179"/>
      <c r="G187" s="179"/>
      <c r="H187" s="179"/>
      <c r="I187" s="179"/>
      <c r="J187" s="179"/>
      <c r="K187" s="179"/>
      <c r="L187" s="179"/>
      <c r="M187" s="179"/>
      <c r="N187" s="179"/>
      <c r="O187" s="179"/>
      <c r="P187" s="179"/>
      <c r="Q187" s="179"/>
      <c r="R187" s="179"/>
      <c r="S187" s="179"/>
      <c r="T187" s="179"/>
      <c r="U187" s="179"/>
      <c r="V187" s="179"/>
      <c r="W187" s="179"/>
      <c r="X187" s="179"/>
      <c r="Y187" s="179"/>
      <c r="Z187" s="179"/>
      <c r="AA187" s="179"/>
      <c r="AB187" s="179"/>
      <c r="AC187" s="172"/>
    </row>
    <row r="188" spans="1:29" s="12" customFormat="1" x14ac:dyDescent="0.3">
      <c r="A188" s="172"/>
      <c r="B188" s="179"/>
      <c r="C188" s="179"/>
      <c r="D188" s="179"/>
      <c r="E188" s="179"/>
      <c r="F188" s="179"/>
      <c r="G188" s="179"/>
      <c r="H188" s="179"/>
      <c r="I188" s="179"/>
      <c r="J188" s="179"/>
      <c r="K188" s="179"/>
      <c r="L188" s="179"/>
      <c r="M188" s="179"/>
      <c r="N188" s="179"/>
      <c r="O188" s="179"/>
      <c r="P188" s="179"/>
      <c r="Q188" s="179"/>
      <c r="R188" s="179"/>
      <c r="S188" s="179"/>
      <c r="T188" s="179"/>
      <c r="U188" s="179"/>
      <c r="V188" s="179"/>
      <c r="W188" s="179"/>
      <c r="X188" s="179"/>
      <c r="Y188" s="179"/>
      <c r="Z188" s="179"/>
      <c r="AA188" s="179"/>
      <c r="AB188" s="179"/>
      <c r="AC188" s="172"/>
    </row>
    <row r="189" spans="1:29" s="12" customFormat="1" x14ac:dyDescent="0.3">
      <c r="A189" s="172"/>
      <c r="B189" s="179"/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179"/>
      <c r="X189" s="179"/>
      <c r="Y189" s="179"/>
      <c r="Z189" s="179"/>
      <c r="AA189" s="179"/>
      <c r="AB189" s="179"/>
      <c r="AC189" s="172"/>
    </row>
    <row r="190" spans="1:29" s="12" customFormat="1" x14ac:dyDescent="0.3">
      <c r="A190" s="172"/>
      <c r="B190" s="179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79"/>
      <c r="Z190" s="179"/>
      <c r="AA190" s="179"/>
      <c r="AB190" s="179"/>
      <c r="AC190" s="172"/>
    </row>
    <row r="191" spans="1:29" s="12" customFormat="1" x14ac:dyDescent="0.3">
      <c r="A191" s="172"/>
      <c r="B191" s="179"/>
      <c r="C191" s="179"/>
      <c r="D191" s="179"/>
      <c r="E191" s="179"/>
      <c r="F191" s="179"/>
      <c r="G191" s="179"/>
      <c r="H191" s="179"/>
      <c r="I191" s="179"/>
      <c r="J191" s="179"/>
      <c r="K191" s="179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  <c r="V191" s="179"/>
      <c r="W191" s="179"/>
      <c r="X191" s="179"/>
      <c r="Y191" s="179"/>
      <c r="Z191" s="179"/>
      <c r="AA191" s="179"/>
      <c r="AB191" s="179"/>
      <c r="AC191" s="172"/>
    </row>
    <row r="192" spans="1:29" s="12" customFormat="1" x14ac:dyDescent="0.3">
      <c r="A192" s="172"/>
      <c r="B192" s="179"/>
      <c r="C192" s="179"/>
      <c r="D192" s="179"/>
      <c r="E192" s="179"/>
      <c r="F192" s="179"/>
      <c r="G192" s="179"/>
      <c r="H192" s="179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  <c r="V192" s="179"/>
      <c r="W192" s="179"/>
      <c r="X192" s="179"/>
      <c r="Y192" s="179"/>
      <c r="Z192" s="179"/>
      <c r="AA192" s="179"/>
      <c r="AB192" s="179"/>
      <c r="AC192" s="172"/>
    </row>
    <row r="193" spans="1:29" s="12" customFormat="1" x14ac:dyDescent="0.3">
      <c r="A193" s="172"/>
      <c r="B193" s="179"/>
      <c r="C193" s="179"/>
      <c r="D193" s="179"/>
      <c r="E193" s="179"/>
      <c r="F193" s="179"/>
      <c r="G193" s="179"/>
      <c r="H193" s="179"/>
      <c r="I193" s="179"/>
      <c r="J193" s="179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2"/>
    </row>
    <row r="194" spans="1:29" s="12" customFormat="1" x14ac:dyDescent="0.3">
      <c r="A194" s="172"/>
      <c r="B194" s="179"/>
      <c r="C194" s="179"/>
      <c r="D194" s="179"/>
      <c r="E194" s="179"/>
      <c r="F194" s="179"/>
      <c r="G194" s="179"/>
      <c r="H194" s="179"/>
      <c r="I194" s="179"/>
      <c r="J194" s="179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2"/>
    </row>
    <row r="195" spans="1:29" s="12" customFormat="1" x14ac:dyDescent="0.3">
      <c r="A195" s="172"/>
      <c r="B195" s="179"/>
      <c r="C195" s="179"/>
      <c r="D195" s="179"/>
      <c r="E195" s="179"/>
      <c r="F195" s="179"/>
      <c r="G195" s="179"/>
      <c r="H195" s="179"/>
      <c r="I195" s="179"/>
      <c r="J195" s="179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  <c r="AA195" s="179"/>
      <c r="AB195" s="179"/>
      <c r="AC195" s="172"/>
    </row>
    <row r="196" spans="1:29" s="12" customFormat="1" ht="20.25" customHeight="1" x14ac:dyDescent="0.3">
      <c r="A196" s="172"/>
      <c r="B196" s="172"/>
      <c r="C196" s="172"/>
      <c r="D196" s="172"/>
      <c r="E196" s="172"/>
      <c r="F196" s="172"/>
      <c r="G196" s="172"/>
      <c r="H196" s="172"/>
      <c r="I196" s="172"/>
      <c r="J196" s="172"/>
      <c r="K196" s="172"/>
      <c r="L196" s="172"/>
      <c r="M196" s="172"/>
      <c r="N196" s="172"/>
      <c r="O196" s="172"/>
      <c r="P196" s="172"/>
      <c r="Q196" s="172"/>
      <c r="R196" s="172"/>
      <c r="S196" s="172"/>
      <c r="T196" s="172"/>
      <c r="U196" s="172"/>
      <c r="V196" s="172"/>
      <c r="W196" s="172"/>
      <c r="X196" s="172"/>
      <c r="Y196" s="172"/>
      <c r="Z196" s="172"/>
      <c r="AA196" s="172"/>
      <c r="AB196" s="172"/>
      <c r="AC196" s="172"/>
    </row>
    <row r="197" spans="1:29" s="12" customFormat="1" x14ac:dyDescent="0.3">
      <c r="A197" s="172"/>
      <c r="B197" s="179"/>
      <c r="C197" s="179"/>
      <c r="D197" s="179"/>
      <c r="E197" s="179"/>
      <c r="F197" s="179"/>
      <c r="G197" s="179"/>
      <c r="H197" s="179"/>
      <c r="I197" s="179"/>
      <c r="J197" s="179"/>
      <c r="K197" s="179"/>
      <c r="L197" s="179"/>
      <c r="M197" s="179"/>
      <c r="N197" s="179"/>
      <c r="O197" s="179"/>
      <c r="P197" s="179"/>
      <c r="Q197" s="179"/>
      <c r="R197" s="179"/>
      <c r="S197" s="179"/>
      <c r="T197" s="179"/>
      <c r="U197" s="179"/>
      <c r="V197" s="179"/>
      <c r="W197" s="179"/>
      <c r="X197" s="179"/>
      <c r="Y197" s="179"/>
      <c r="Z197" s="179"/>
      <c r="AA197" s="179"/>
      <c r="AB197" s="179"/>
      <c r="AC197" s="172"/>
    </row>
    <row r="198" spans="1:29" s="12" customFormat="1" x14ac:dyDescent="0.3">
      <c r="A198" s="172"/>
      <c r="B198" s="179"/>
      <c r="C198" s="179"/>
      <c r="D198" s="179"/>
      <c r="E198" s="179"/>
      <c r="F198" s="179"/>
      <c r="G198" s="179"/>
      <c r="H198" s="179"/>
      <c r="I198" s="179"/>
      <c r="J198" s="179"/>
      <c r="K198" s="179"/>
      <c r="L198" s="179"/>
      <c r="M198" s="179"/>
      <c r="N198" s="179"/>
      <c r="O198" s="179"/>
      <c r="P198" s="179"/>
      <c r="Q198" s="179"/>
      <c r="R198" s="179"/>
      <c r="S198" s="179"/>
      <c r="T198" s="179"/>
      <c r="U198" s="179"/>
      <c r="V198" s="179"/>
      <c r="W198" s="179"/>
      <c r="X198" s="179"/>
      <c r="Y198" s="179"/>
      <c r="Z198" s="179"/>
      <c r="AA198" s="179"/>
      <c r="AB198" s="179"/>
      <c r="AC198" s="172"/>
    </row>
    <row r="199" spans="1:29" s="12" customFormat="1" x14ac:dyDescent="0.3">
      <c r="A199" s="172"/>
      <c r="B199" s="179"/>
      <c r="C199" s="179"/>
      <c r="D199" s="179"/>
      <c r="E199" s="179"/>
      <c r="F199" s="179"/>
      <c r="G199" s="179"/>
      <c r="H199" s="179"/>
      <c r="I199" s="179"/>
      <c r="J199" s="179"/>
      <c r="K199" s="179"/>
      <c r="L199" s="179"/>
      <c r="M199" s="179"/>
      <c r="N199" s="179"/>
      <c r="O199" s="179"/>
      <c r="P199" s="179"/>
      <c r="Q199" s="179"/>
      <c r="R199" s="179"/>
      <c r="S199" s="179"/>
      <c r="T199" s="179"/>
      <c r="U199" s="179"/>
      <c r="V199" s="179"/>
      <c r="W199" s="179"/>
      <c r="X199" s="179"/>
      <c r="Y199" s="179"/>
      <c r="Z199" s="179"/>
      <c r="AA199" s="179"/>
      <c r="AB199" s="179"/>
      <c r="AC199" s="172"/>
    </row>
    <row r="200" spans="1:29" s="12" customFormat="1" x14ac:dyDescent="0.3">
      <c r="A200" s="172"/>
      <c r="B200" s="179"/>
      <c r="C200" s="179"/>
      <c r="D200" s="179"/>
      <c r="E200" s="179"/>
      <c r="F200" s="179"/>
      <c r="G200" s="179"/>
      <c r="H200" s="179"/>
      <c r="I200" s="179"/>
      <c r="J200" s="179"/>
      <c r="K200" s="179"/>
      <c r="L200" s="179"/>
      <c r="M200" s="179"/>
      <c r="N200" s="179"/>
      <c r="O200" s="179"/>
      <c r="P200" s="179"/>
      <c r="Q200" s="179"/>
      <c r="R200" s="179"/>
      <c r="S200" s="179"/>
      <c r="T200" s="179"/>
      <c r="U200" s="179"/>
      <c r="V200" s="179"/>
      <c r="W200" s="179"/>
      <c r="X200" s="179"/>
      <c r="Y200" s="179"/>
      <c r="Z200" s="179"/>
      <c r="AA200" s="179"/>
      <c r="AB200" s="179"/>
      <c r="AC200" s="172"/>
    </row>
    <row r="201" spans="1:29" s="12" customFormat="1" x14ac:dyDescent="0.3">
      <c r="A201" s="172"/>
      <c r="B201" s="179"/>
      <c r="C201" s="179"/>
      <c r="D201" s="179"/>
      <c r="E201" s="179"/>
      <c r="F201" s="179"/>
      <c r="G201" s="179"/>
      <c r="H201" s="179"/>
      <c r="I201" s="179"/>
      <c r="J201" s="179"/>
      <c r="K201" s="179"/>
      <c r="L201" s="179"/>
      <c r="M201" s="179"/>
      <c r="N201" s="179"/>
      <c r="O201" s="179"/>
      <c r="P201" s="179"/>
      <c r="Q201" s="179"/>
      <c r="R201" s="179"/>
      <c r="S201" s="179"/>
      <c r="T201" s="179"/>
      <c r="U201" s="179"/>
      <c r="V201" s="179"/>
      <c r="W201" s="179"/>
      <c r="X201" s="179"/>
      <c r="Y201" s="179"/>
      <c r="Z201" s="179"/>
      <c r="AA201" s="179"/>
      <c r="AB201" s="179"/>
      <c r="AC201" s="172"/>
    </row>
    <row r="202" spans="1:29" s="12" customFormat="1" x14ac:dyDescent="0.3">
      <c r="A202" s="172"/>
      <c r="B202" s="179"/>
      <c r="C202" s="179"/>
      <c r="D202" s="179"/>
      <c r="E202" s="179"/>
      <c r="F202" s="179"/>
      <c r="G202" s="179"/>
      <c r="H202" s="179"/>
      <c r="I202" s="179"/>
      <c r="J202" s="179"/>
      <c r="K202" s="179"/>
      <c r="L202" s="179"/>
      <c r="M202" s="179"/>
      <c r="N202" s="179"/>
      <c r="O202" s="179"/>
      <c r="P202" s="179"/>
      <c r="Q202" s="179"/>
      <c r="R202" s="179"/>
      <c r="S202" s="179"/>
      <c r="T202" s="179"/>
      <c r="U202" s="179"/>
      <c r="V202" s="179"/>
      <c r="W202" s="179"/>
      <c r="X202" s="179"/>
      <c r="Y202" s="179"/>
      <c r="Z202" s="179"/>
      <c r="AA202" s="179"/>
      <c r="AB202" s="179"/>
      <c r="AC202" s="172"/>
    </row>
    <row r="203" spans="1:29" s="12" customFormat="1" x14ac:dyDescent="0.3">
      <c r="A203" s="172"/>
      <c r="B203" s="179"/>
      <c r="C203" s="179"/>
      <c r="D203" s="179"/>
      <c r="E203" s="179"/>
      <c r="F203" s="179"/>
      <c r="G203" s="179"/>
      <c r="H203" s="179"/>
      <c r="I203" s="179"/>
      <c r="J203" s="179"/>
      <c r="K203" s="179"/>
      <c r="L203" s="179"/>
      <c r="M203" s="179"/>
      <c r="N203" s="179"/>
      <c r="O203" s="179"/>
      <c r="P203" s="179"/>
      <c r="Q203" s="179"/>
      <c r="R203" s="179"/>
      <c r="S203" s="179"/>
      <c r="T203" s="179"/>
      <c r="U203" s="179"/>
      <c r="V203" s="179"/>
      <c r="W203" s="179"/>
      <c r="X203" s="179"/>
      <c r="Y203" s="179"/>
      <c r="Z203" s="179"/>
      <c r="AA203" s="179"/>
      <c r="AB203" s="179"/>
      <c r="AC203" s="172"/>
    </row>
    <row r="204" spans="1:29" s="12" customFormat="1" x14ac:dyDescent="0.3">
      <c r="A204" s="172"/>
      <c r="B204" s="179"/>
      <c r="C204" s="179"/>
      <c r="D204" s="179"/>
      <c r="E204" s="179"/>
      <c r="F204" s="179"/>
      <c r="G204" s="179"/>
      <c r="H204" s="179"/>
      <c r="I204" s="179"/>
      <c r="J204" s="179"/>
      <c r="K204" s="179"/>
      <c r="L204" s="179"/>
      <c r="M204" s="179"/>
      <c r="N204" s="179"/>
      <c r="O204" s="179"/>
      <c r="P204" s="179"/>
      <c r="Q204" s="179"/>
      <c r="R204" s="179"/>
      <c r="S204" s="179"/>
      <c r="T204" s="179"/>
      <c r="U204" s="179"/>
      <c r="V204" s="179"/>
      <c r="W204" s="179"/>
      <c r="X204" s="179"/>
      <c r="Y204" s="179"/>
      <c r="Z204" s="179"/>
      <c r="AA204" s="179"/>
      <c r="AB204" s="179"/>
      <c r="AC204" s="172"/>
    </row>
    <row r="205" spans="1:29" s="12" customFormat="1" x14ac:dyDescent="0.3">
      <c r="A205" s="172"/>
      <c r="B205" s="179"/>
      <c r="C205" s="179"/>
      <c r="D205" s="179"/>
      <c r="E205" s="179"/>
      <c r="F205" s="179"/>
      <c r="G205" s="179"/>
      <c r="H205" s="179"/>
      <c r="I205" s="179"/>
      <c r="J205" s="179"/>
      <c r="K205" s="179"/>
      <c r="L205" s="179"/>
      <c r="M205" s="179"/>
      <c r="N205" s="179"/>
      <c r="O205" s="179"/>
      <c r="P205" s="179"/>
      <c r="Q205" s="179"/>
      <c r="R205" s="179"/>
      <c r="S205" s="179"/>
      <c r="T205" s="179"/>
      <c r="U205" s="179"/>
      <c r="V205" s="179"/>
      <c r="W205" s="179"/>
      <c r="X205" s="179"/>
      <c r="Y205" s="179"/>
      <c r="Z205" s="179"/>
      <c r="AA205" s="179"/>
      <c r="AB205" s="179"/>
      <c r="AC205" s="172"/>
    </row>
    <row r="206" spans="1:29" s="12" customFormat="1" x14ac:dyDescent="0.3">
      <c r="A206" s="172"/>
      <c r="B206" s="179"/>
      <c r="C206" s="179"/>
      <c r="D206" s="179"/>
      <c r="E206" s="179"/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179"/>
      <c r="R206" s="179"/>
      <c r="S206" s="179"/>
      <c r="T206" s="179"/>
      <c r="U206" s="179"/>
      <c r="V206" s="179"/>
      <c r="W206" s="179"/>
      <c r="X206" s="179"/>
      <c r="Y206" s="179"/>
      <c r="Z206" s="179"/>
      <c r="AA206" s="179"/>
      <c r="AB206" s="179"/>
      <c r="AC206" s="172"/>
    </row>
    <row r="207" spans="1:29" s="12" customFormat="1" x14ac:dyDescent="0.3">
      <c r="A207" s="172"/>
      <c r="B207" s="179"/>
      <c r="C207" s="179"/>
      <c r="D207" s="179"/>
      <c r="E207" s="179"/>
      <c r="F207" s="179"/>
      <c r="G207" s="179"/>
      <c r="H207" s="179"/>
      <c r="I207" s="179"/>
      <c r="J207" s="179"/>
      <c r="K207" s="179"/>
      <c r="L207" s="179"/>
      <c r="M207" s="179"/>
      <c r="N207" s="179"/>
      <c r="O207" s="179"/>
      <c r="P207" s="179"/>
      <c r="Q207" s="179"/>
      <c r="R207" s="179"/>
      <c r="S207" s="179"/>
      <c r="T207" s="179"/>
      <c r="U207" s="179"/>
      <c r="V207" s="179"/>
      <c r="W207" s="179"/>
      <c r="X207" s="179"/>
      <c r="Y207" s="179"/>
      <c r="Z207" s="179"/>
      <c r="AA207" s="179"/>
      <c r="AB207" s="179"/>
      <c r="AC207" s="172"/>
    </row>
    <row r="208" spans="1:29" s="12" customFormat="1" x14ac:dyDescent="0.3">
      <c r="A208" s="172"/>
      <c r="B208" s="179"/>
      <c r="C208" s="179"/>
      <c r="D208" s="179"/>
      <c r="E208" s="179"/>
      <c r="F208" s="179"/>
      <c r="G208" s="179"/>
      <c r="H208" s="179"/>
      <c r="I208" s="179"/>
      <c r="J208" s="179"/>
      <c r="K208" s="179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179"/>
      <c r="W208" s="179"/>
      <c r="X208" s="179"/>
      <c r="Y208" s="179"/>
      <c r="Z208" s="179"/>
      <c r="AA208" s="179"/>
      <c r="AB208" s="179"/>
      <c r="AC208" s="172"/>
    </row>
    <row r="209" spans="1:29" s="12" customFormat="1" x14ac:dyDescent="0.3">
      <c r="A209" s="172"/>
      <c r="B209" s="179"/>
      <c r="C209" s="179"/>
      <c r="D209" s="179"/>
      <c r="E209" s="179"/>
      <c r="F209" s="179"/>
      <c r="G209" s="179"/>
      <c r="H209" s="179"/>
      <c r="I209" s="179"/>
      <c r="J209" s="179"/>
      <c r="K209" s="179"/>
      <c r="L209" s="179"/>
      <c r="M209" s="179"/>
      <c r="N209" s="179"/>
      <c r="O209" s="179"/>
      <c r="P209" s="179"/>
      <c r="Q209" s="179"/>
      <c r="R209" s="179"/>
      <c r="S209" s="179"/>
      <c r="T209" s="179"/>
      <c r="U209" s="179"/>
      <c r="V209" s="179"/>
      <c r="W209" s="179"/>
      <c r="X209" s="179"/>
      <c r="Y209" s="179"/>
      <c r="Z209" s="179"/>
      <c r="AA209" s="179"/>
      <c r="AB209" s="179"/>
      <c r="AC209" s="172"/>
    </row>
    <row r="210" spans="1:29" s="12" customFormat="1" x14ac:dyDescent="0.3">
      <c r="A210" s="172"/>
      <c r="B210" s="179"/>
      <c r="C210" s="179"/>
      <c r="D210" s="179"/>
      <c r="E210" s="179"/>
      <c r="F210" s="179"/>
      <c r="G210" s="179"/>
      <c r="H210" s="179"/>
      <c r="I210" s="179"/>
      <c r="J210" s="179"/>
      <c r="K210" s="179"/>
      <c r="L210" s="179"/>
      <c r="M210" s="179"/>
      <c r="N210" s="179"/>
      <c r="O210" s="179"/>
      <c r="P210" s="179"/>
      <c r="Q210" s="179"/>
      <c r="R210" s="179"/>
      <c r="S210" s="179"/>
      <c r="T210" s="179"/>
      <c r="U210" s="179"/>
      <c r="V210" s="179"/>
      <c r="W210" s="179"/>
      <c r="X210" s="179"/>
      <c r="Y210" s="179"/>
      <c r="Z210" s="179"/>
      <c r="AA210" s="179"/>
      <c r="AB210" s="179"/>
      <c r="AC210" s="172"/>
    </row>
    <row r="211" spans="1:29" s="12" customFormat="1" x14ac:dyDescent="0.3">
      <c r="A211" s="172"/>
      <c r="B211" s="179"/>
      <c r="C211" s="179"/>
      <c r="D211" s="179"/>
      <c r="E211" s="179"/>
      <c r="F211" s="179"/>
      <c r="G211" s="179"/>
      <c r="H211" s="179"/>
      <c r="I211" s="179"/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79"/>
      <c r="U211" s="179"/>
      <c r="V211" s="179"/>
      <c r="W211" s="179"/>
      <c r="X211" s="179"/>
      <c r="Y211" s="179"/>
      <c r="Z211" s="179"/>
      <c r="AA211" s="179"/>
      <c r="AB211" s="179"/>
      <c r="AC211" s="172"/>
    </row>
    <row r="212" spans="1:29" s="12" customFormat="1" x14ac:dyDescent="0.3">
      <c r="A212" s="172"/>
      <c r="B212" s="179"/>
      <c r="C212" s="179"/>
      <c r="D212" s="179"/>
      <c r="E212" s="179"/>
      <c r="F212" s="179"/>
      <c r="G212" s="179"/>
      <c r="H212" s="179"/>
      <c r="I212" s="179"/>
      <c r="J212" s="179"/>
      <c r="K212" s="179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179"/>
      <c r="W212" s="179"/>
      <c r="X212" s="179"/>
      <c r="Y212" s="179"/>
      <c r="Z212" s="179"/>
      <c r="AA212" s="179"/>
      <c r="AB212" s="179"/>
      <c r="AC212" s="172"/>
    </row>
    <row r="213" spans="1:29" s="12" customFormat="1" x14ac:dyDescent="0.3">
      <c r="A213" s="172"/>
      <c r="B213" s="179"/>
      <c r="C213" s="179"/>
      <c r="D213" s="179"/>
      <c r="E213" s="179"/>
      <c r="F213" s="179"/>
      <c r="G213" s="179"/>
      <c r="H213" s="179"/>
      <c r="I213" s="179"/>
      <c r="J213" s="179"/>
      <c r="K213" s="179"/>
      <c r="L213" s="179"/>
      <c r="M213" s="179"/>
      <c r="N213" s="179"/>
      <c r="O213" s="179"/>
      <c r="P213" s="179"/>
      <c r="Q213" s="179"/>
      <c r="R213" s="179"/>
      <c r="S213" s="179"/>
      <c r="T213" s="179"/>
      <c r="U213" s="179"/>
      <c r="V213" s="179"/>
      <c r="W213" s="179"/>
      <c r="X213" s="179"/>
      <c r="Y213" s="179"/>
      <c r="Z213" s="179"/>
      <c r="AA213" s="179"/>
      <c r="AB213" s="179"/>
      <c r="AC213" s="172"/>
    </row>
    <row r="214" spans="1:29" s="12" customFormat="1" x14ac:dyDescent="0.3">
      <c r="A214" s="172"/>
      <c r="B214" s="179"/>
      <c r="C214" s="179"/>
      <c r="D214" s="179"/>
      <c r="E214" s="179"/>
      <c r="F214" s="179"/>
      <c r="G214" s="179"/>
      <c r="H214" s="179"/>
      <c r="I214" s="179"/>
      <c r="J214" s="179"/>
      <c r="K214" s="179"/>
      <c r="L214" s="179"/>
      <c r="M214" s="179"/>
      <c r="N214" s="179"/>
      <c r="O214" s="179"/>
      <c r="P214" s="179"/>
      <c r="Q214" s="179"/>
      <c r="R214" s="179"/>
      <c r="S214" s="179"/>
      <c r="T214" s="179"/>
      <c r="U214" s="179"/>
      <c r="V214" s="179"/>
      <c r="W214" s="179"/>
      <c r="X214" s="179"/>
      <c r="Y214" s="179"/>
      <c r="Z214" s="179"/>
      <c r="AA214" s="179"/>
      <c r="AB214" s="179"/>
      <c r="AC214" s="172"/>
    </row>
    <row r="215" spans="1:29" s="12" customFormat="1" x14ac:dyDescent="0.3">
      <c r="A215" s="172"/>
      <c r="B215" s="179"/>
      <c r="C215" s="179"/>
      <c r="D215" s="179"/>
      <c r="E215" s="179"/>
      <c r="F215" s="179"/>
      <c r="G215" s="179"/>
      <c r="H215" s="179"/>
      <c r="I215" s="179"/>
      <c r="J215" s="179"/>
      <c r="K215" s="179"/>
      <c r="L215" s="179"/>
      <c r="M215" s="179"/>
      <c r="N215" s="179"/>
      <c r="O215" s="179"/>
      <c r="P215" s="179"/>
      <c r="Q215" s="179"/>
      <c r="R215" s="179"/>
      <c r="S215" s="179"/>
      <c r="T215" s="179"/>
      <c r="U215" s="179"/>
      <c r="V215" s="179"/>
      <c r="W215" s="179"/>
      <c r="X215" s="179"/>
      <c r="Y215" s="179"/>
      <c r="Z215" s="179"/>
      <c r="AA215" s="179"/>
      <c r="AB215" s="179"/>
      <c r="AC215" s="172"/>
    </row>
    <row r="216" spans="1:29" s="12" customFormat="1" x14ac:dyDescent="0.3">
      <c r="A216" s="172"/>
      <c r="B216" s="179"/>
      <c r="C216" s="179"/>
      <c r="D216" s="179"/>
      <c r="E216" s="179"/>
      <c r="F216" s="179"/>
      <c r="G216" s="179"/>
      <c r="H216" s="179"/>
      <c r="I216" s="179"/>
      <c r="J216" s="179"/>
      <c r="K216" s="179"/>
      <c r="L216" s="179"/>
      <c r="M216" s="179"/>
      <c r="N216" s="179"/>
      <c r="O216" s="179"/>
      <c r="P216" s="179"/>
      <c r="Q216" s="179"/>
      <c r="R216" s="179"/>
      <c r="S216" s="179"/>
      <c r="T216" s="179"/>
      <c r="U216" s="179"/>
      <c r="V216" s="179"/>
      <c r="W216" s="179"/>
      <c r="X216" s="179"/>
      <c r="Y216" s="179"/>
      <c r="Z216" s="179"/>
      <c r="AA216" s="179"/>
      <c r="AB216" s="179"/>
      <c r="AC216" s="172"/>
    </row>
    <row r="217" spans="1:29" s="12" customFormat="1" x14ac:dyDescent="0.3">
      <c r="A217" s="172"/>
      <c r="B217" s="179"/>
      <c r="C217" s="179"/>
      <c r="D217" s="179"/>
      <c r="E217" s="179"/>
      <c r="F217" s="179"/>
      <c r="G217" s="179"/>
      <c r="H217" s="179"/>
      <c r="I217" s="179"/>
      <c r="J217" s="179"/>
      <c r="K217" s="179"/>
      <c r="L217" s="179"/>
      <c r="M217" s="179"/>
      <c r="N217" s="179"/>
      <c r="O217" s="179"/>
      <c r="P217" s="179"/>
      <c r="Q217" s="179"/>
      <c r="R217" s="179"/>
      <c r="S217" s="179"/>
      <c r="T217" s="179"/>
      <c r="U217" s="179"/>
      <c r="V217" s="179"/>
      <c r="W217" s="179"/>
      <c r="X217" s="179"/>
      <c r="Y217" s="179"/>
      <c r="Z217" s="179"/>
      <c r="AA217" s="179"/>
      <c r="AB217" s="179"/>
      <c r="AC217" s="172"/>
    </row>
    <row r="218" spans="1:29" s="12" customFormat="1" x14ac:dyDescent="0.3">
      <c r="A218" s="172"/>
      <c r="B218" s="179"/>
      <c r="C218" s="179"/>
      <c r="D218" s="179"/>
      <c r="E218" s="179"/>
      <c r="F218" s="179"/>
      <c r="G218" s="179"/>
      <c r="H218" s="179"/>
      <c r="I218" s="179"/>
      <c r="J218" s="179"/>
      <c r="K218" s="179"/>
      <c r="L218" s="179"/>
      <c r="M218" s="179"/>
      <c r="N218" s="179"/>
      <c r="O218" s="179"/>
      <c r="P218" s="179"/>
      <c r="Q218" s="179"/>
      <c r="R218" s="179"/>
      <c r="S218" s="179"/>
      <c r="T218" s="179"/>
      <c r="U218" s="179"/>
      <c r="V218" s="179"/>
      <c r="W218" s="179"/>
      <c r="X218" s="179"/>
      <c r="Y218" s="179"/>
      <c r="Z218" s="179"/>
      <c r="AA218" s="179"/>
      <c r="AB218" s="179"/>
      <c r="AC218" s="172"/>
    </row>
    <row r="219" spans="1:29" s="12" customFormat="1" x14ac:dyDescent="0.3">
      <c r="A219" s="172"/>
      <c r="B219" s="179"/>
      <c r="C219" s="179"/>
      <c r="D219" s="179"/>
      <c r="E219" s="179"/>
      <c r="F219" s="179"/>
      <c r="G219" s="179"/>
      <c r="H219" s="179"/>
      <c r="I219" s="179"/>
      <c r="J219" s="179"/>
      <c r="K219" s="179"/>
      <c r="L219" s="179"/>
      <c r="M219" s="179"/>
      <c r="N219" s="179"/>
      <c r="O219" s="179"/>
      <c r="P219" s="179"/>
      <c r="Q219" s="179"/>
      <c r="R219" s="179"/>
      <c r="S219" s="179"/>
      <c r="T219" s="179"/>
      <c r="U219" s="179"/>
      <c r="V219" s="179"/>
      <c r="W219" s="179"/>
      <c r="X219" s="179"/>
      <c r="Y219" s="179"/>
      <c r="Z219" s="179"/>
      <c r="AA219" s="179"/>
      <c r="AB219" s="179"/>
      <c r="AC219" s="172"/>
    </row>
    <row r="220" spans="1:29" s="12" customFormat="1" x14ac:dyDescent="0.3">
      <c r="A220" s="172"/>
      <c r="B220" s="179"/>
      <c r="C220" s="179"/>
      <c r="D220" s="179"/>
      <c r="E220" s="179"/>
      <c r="F220" s="179"/>
      <c r="G220" s="179"/>
      <c r="H220" s="179"/>
      <c r="I220" s="179"/>
      <c r="J220" s="179"/>
      <c r="K220" s="179"/>
      <c r="L220" s="179"/>
      <c r="M220" s="179"/>
      <c r="N220" s="179"/>
      <c r="O220" s="179"/>
      <c r="P220" s="179"/>
      <c r="Q220" s="179"/>
      <c r="R220" s="179"/>
      <c r="S220" s="179"/>
      <c r="T220" s="179"/>
      <c r="U220" s="179"/>
      <c r="V220" s="179"/>
      <c r="W220" s="179"/>
      <c r="X220" s="179"/>
      <c r="Y220" s="179"/>
      <c r="Z220" s="179"/>
      <c r="AA220" s="179"/>
      <c r="AB220" s="179"/>
      <c r="AC220" s="172"/>
    </row>
    <row r="221" spans="1:29" s="12" customFormat="1" x14ac:dyDescent="0.3">
      <c r="A221" s="172"/>
      <c r="B221" s="172"/>
      <c r="C221" s="172"/>
      <c r="D221" s="172"/>
      <c r="E221" s="172"/>
      <c r="F221" s="172"/>
      <c r="G221" s="172"/>
      <c r="H221" s="172"/>
      <c r="I221" s="172"/>
      <c r="J221" s="172"/>
      <c r="K221" s="172"/>
      <c r="L221" s="172"/>
      <c r="M221" s="172"/>
      <c r="N221" s="172"/>
      <c r="O221" s="172"/>
      <c r="P221" s="172"/>
      <c r="Q221" s="172"/>
      <c r="R221" s="172"/>
      <c r="S221" s="172"/>
      <c r="T221" s="172"/>
      <c r="U221" s="172"/>
      <c r="V221" s="172"/>
      <c r="W221" s="172"/>
      <c r="X221" s="172"/>
      <c r="Y221" s="172"/>
      <c r="Z221" s="172"/>
      <c r="AA221" s="172"/>
      <c r="AB221" s="172"/>
      <c r="AC221" s="172"/>
    </row>
    <row r="222" spans="1:29" s="12" customFormat="1" x14ac:dyDescent="0.3">
      <c r="A222" s="172"/>
      <c r="B222" s="172"/>
      <c r="C222" s="172"/>
      <c r="D222" s="172"/>
      <c r="E222" s="172"/>
      <c r="F222" s="172"/>
      <c r="G222" s="172"/>
      <c r="H222" s="172"/>
      <c r="I222" s="172"/>
      <c r="J222" s="172"/>
      <c r="K222" s="172"/>
      <c r="L222" s="172"/>
      <c r="M222" s="172"/>
      <c r="N222" s="172"/>
      <c r="O222" s="172"/>
      <c r="P222" s="172"/>
      <c r="Q222" s="172"/>
      <c r="R222" s="172"/>
      <c r="S222" s="172"/>
      <c r="T222" s="172"/>
      <c r="U222" s="172"/>
      <c r="V222" s="172"/>
      <c r="W222" s="172"/>
      <c r="X222" s="172"/>
      <c r="Y222" s="172"/>
      <c r="Z222" s="172"/>
      <c r="AA222" s="172"/>
      <c r="AB222" s="172"/>
      <c r="AC222" s="172"/>
    </row>
    <row r="223" spans="1:29" s="12" customFormat="1" x14ac:dyDescent="0.3"/>
    <row r="224" spans="1:29" s="12" customFormat="1" hidden="1" x14ac:dyDescent="0.3"/>
    <row r="225" s="12" customFormat="1" hidden="1" x14ac:dyDescent="0.3"/>
    <row r="226" s="12" customFormat="1" hidden="1" x14ac:dyDescent="0.3"/>
    <row r="227" s="12" customFormat="1" hidden="1" x14ac:dyDescent="0.3"/>
    <row r="228" s="12" customFormat="1" hidden="1" x14ac:dyDescent="0.3"/>
    <row r="229" s="12" customFormat="1" hidden="1" x14ac:dyDescent="0.3"/>
    <row r="230" s="12" customFormat="1" hidden="1" x14ac:dyDescent="0.3"/>
    <row r="231" s="12" customFormat="1" hidden="1" x14ac:dyDescent="0.3"/>
    <row r="232" s="12" customFormat="1" hidden="1" x14ac:dyDescent="0.3"/>
    <row r="233" s="12" customFormat="1" hidden="1" x14ac:dyDescent="0.3"/>
    <row r="234" s="12" customFormat="1" hidden="1" x14ac:dyDescent="0.3"/>
    <row r="235" s="12" customFormat="1" hidden="1" x14ac:dyDescent="0.3"/>
    <row r="236" s="12" customFormat="1" hidden="1" x14ac:dyDescent="0.3"/>
    <row r="237" s="12" customFormat="1" hidden="1" x14ac:dyDescent="0.3"/>
    <row r="238" s="12" customFormat="1" hidden="1" x14ac:dyDescent="0.3"/>
    <row r="239" s="12" customFormat="1" hidden="1" x14ac:dyDescent="0.3"/>
    <row r="240" s="12" customFormat="1" hidden="1" x14ac:dyDescent="0.3"/>
    <row r="241" s="12" customFormat="1" hidden="1" x14ac:dyDescent="0.3"/>
    <row r="242" s="12" customFormat="1" hidden="1" x14ac:dyDescent="0.3"/>
    <row r="243" s="12" customFormat="1" hidden="1" x14ac:dyDescent="0.3"/>
    <row r="244" s="12" customFormat="1" hidden="1" x14ac:dyDescent="0.3"/>
    <row r="245" s="12" customFormat="1" hidden="1" x14ac:dyDescent="0.3"/>
    <row r="246" s="12" customFormat="1" hidden="1" x14ac:dyDescent="0.3"/>
    <row r="247" s="12" customFormat="1" hidden="1" x14ac:dyDescent="0.3"/>
    <row r="248" s="12" customFormat="1" hidden="1" x14ac:dyDescent="0.3"/>
    <row r="249" s="12" customFormat="1" hidden="1" x14ac:dyDescent="0.3"/>
    <row r="250" s="12" customFormat="1" hidden="1" x14ac:dyDescent="0.3"/>
    <row r="251" s="12" customFormat="1" hidden="1" x14ac:dyDescent="0.3"/>
    <row r="252" s="12" customFormat="1" hidden="1" x14ac:dyDescent="0.3"/>
    <row r="253" s="12" customFormat="1" hidden="1" x14ac:dyDescent="0.3"/>
    <row r="254" s="12" customFormat="1" hidden="1" x14ac:dyDescent="0.3"/>
    <row r="255" s="12" customFormat="1" hidden="1" x14ac:dyDescent="0.3"/>
    <row r="256" s="12" customFormat="1" hidden="1" x14ac:dyDescent="0.3"/>
    <row r="257" s="12" customFormat="1" hidden="1" x14ac:dyDescent="0.3"/>
    <row r="258" s="12" customFormat="1" hidden="1" x14ac:dyDescent="0.3"/>
    <row r="259" s="12" customFormat="1" hidden="1" x14ac:dyDescent="0.3"/>
    <row r="260" s="12" customFormat="1" hidden="1" x14ac:dyDescent="0.3"/>
    <row r="261" s="12" customFormat="1" hidden="1" x14ac:dyDescent="0.3"/>
    <row r="262" s="12" customFormat="1" hidden="1" x14ac:dyDescent="0.3"/>
    <row r="263" s="12" customFormat="1" hidden="1" x14ac:dyDescent="0.3"/>
    <row r="264" s="12" customFormat="1" hidden="1" x14ac:dyDescent="0.3"/>
    <row r="265" s="12" customFormat="1" hidden="1" x14ac:dyDescent="0.3"/>
    <row r="266" s="12" customFormat="1" hidden="1" x14ac:dyDescent="0.3"/>
    <row r="267" s="12" customFormat="1" hidden="1" x14ac:dyDescent="0.3"/>
    <row r="268" s="12" customFormat="1" hidden="1" x14ac:dyDescent="0.3"/>
    <row r="269" s="12" customFormat="1" hidden="1" x14ac:dyDescent="0.3"/>
    <row r="270" s="12" customFormat="1" hidden="1" x14ac:dyDescent="0.3"/>
    <row r="271" s="12" customFormat="1" hidden="1" x14ac:dyDescent="0.3"/>
    <row r="272" s="12" customFormat="1" hidden="1" x14ac:dyDescent="0.3"/>
    <row r="273" s="12" customFormat="1" hidden="1" x14ac:dyDescent="0.3"/>
    <row r="274" s="12" customFormat="1" hidden="1" x14ac:dyDescent="0.3"/>
    <row r="275" s="12" customFormat="1" hidden="1" x14ac:dyDescent="0.3"/>
    <row r="276" s="12" customFormat="1" hidden="1" x14ac:dyDescent="0.3"/>
    <row r="277" s="12" customFormat="1" hidden="1" x14ac:dyDescent="0.3"/>
    <row r="278" s="12" customFormat="1" hidden="1" x14ac:dyDescent="0.3"/>
    <row r="279" s="12" customFormat="1" hidden="1" x14ac:dyDescent="0.3"/>
    <row r="280" s="12" customFormat="1" hidden="1" x14ac:dyDescent="0.3"/>
    <row r="281" s="12" customFormat="1" hidden="1" x14ac:dyDescent="0.3"/>
    <row r="282" s="12" customFormat="1" hidden="1" x14ac:dyDescent="0.3"/>
    <row r="283" s="12" customFormat="1" hidden="1" x14ac:dyDescent="0.3"/>
    <row r="284" s="12" customFormat="1" hidden="1" x14ac:dyDescent="0.3"/>
    <row r="285" s="12" customFormat="1" hidden="1" x14ac:dyDescent="0.3"/>
    <row r="286" s="12" customFormat="1" hidden="1" x14ac:dyDescent="0.3"/>
    <row r="287" s="12" customFormat="1" hidden="1" x14ac:dyDescent="0.3"/>
    <row r="288" s="12" customFormat="1" hidden="1" x14ac:dyDescent="0.3"/>
    <row r="289" s="12" customFormat="1" hidden="1" x14ac:dyDescent="0.3"/>
    <row r="290" s="12" customFormat="1" hidden="1" x14ac:dyDescent="0.3"/>
    <row r="291" s="12" customFormat="1" hidden="1" x14ac:dyDescent="0.3"/>
    <row r="292" s="12" customFormat="1" hidden="1" x14ac:dyDescent="0.3"/>
    <row r="293" s="12" customFormat="1" hidden="1" x14ac:dyDescent="0.3"/>
    <row r="294" s="12" customFormat="1" hidden="1" x14ac:dyDescent="0.3"/>
    <row r="295" s="12" customFormat="1" hidden="1" x14ac:dyDescent="0.3"/>
    <row r="296" s="12" customFormat="1" hidden="1" x14ac:dyDescent="0.3"/>
    <row r="297" s="12" customFormat="1" hidden="1" x14ac:dyDescent="0.3"/>
    <row r="298" s="12" customFormat="1" hidden="1" x14ac:dyDescent="0.3"/>
    <row r="299" s="12" customFormat="1" hidden="1" x14ac:dyDescent="0.3"/>
    <row r="300" s="12" customFormat="1" hidden="1" x14ac:dyDescent="0.3"/>
    <row r="301" s="12" customFormat="1" hidden="1" x14ac:dyDescent="0.3"/>
    <row r="302" s="12" customFormat="1" hidden="1" x14ac:dyDescent="0.3"/>
    <row r="303" s="12" customFormat="1" hidden="1" x14ac:dyDescent="0.3"/>
    <row r="304" s="12" customFormat="1" hidden="1" x14ac:dyDescent="0.3"/>
    <row r="305" s="12" customFormat="1" hidden="1" x14ac:dyDescent="0.3"/>
    <row r="306" s="12" customFormat="1" hidden="1" x14ac:dyDescent="0.3"/>
    <row r="307" s="12" customFormat="1" hidden="1" x14ac:dyDescent="0.3"/>
    <row r="308" s="12" customFormat="1" hidden="1" x14ac:dyDescent="0.3"/>
    <row r="309" s="12" customFormat="1" hidden="1" x14ac:dyDescent="0.3"/>
    <row r="310" s="12" customFormat="1" hidden="1" x14ac:dyDescent="0.3"/>
    <row r="311" s="12" customFormat="1" hidden="1" x14ac:dyDescent="0.3"/>
    <row r="312" s="12" customFormat="1" hidden="1" x14ac:dyDescent="0.3"/>
    <row r="313" s="12" customFormat="1" hidden="1" x14ac:dyDescent="0.3"/>
    <row r="314" s="12" customFormat="1" hidden="1" x14ac:dyDescent="0.3"/>
    <row r="315" s="12" customFormat="1" hidden="1" x14ac:dyDescent="0.3"/>
    <row r="316" s="12" customFormat="1" hidden="1" x14ac:dyDescent="0.3"/>
    <row r="317" s="12" customFormat="1" hidden="1" x14ac:dyDescent="0.3"/>
    <row r="318" s="12" customFormat="1" hidden="1" x14ac:dyDescent="0.3"/>
    <row r="319" s="12" customFormat="1" hidden="1" x14ac:dyDescent="0.3"/>
    <row r="320" s="12" customFormat="1" hidden="1" x14ac:dyDescent="0.3"/>
    <row r="321" s="12" customFormat="1" hidden="1" x14ac:dyDescent="0.3"/>
    <row r="322" s="12" customFormat="1" hidden="1" x14ac:dyDescent="0.3"/>
    <row r="323" s="12" customFormat="1" hidden="1" x14ac:dyDescent="0.3"/>
    <row r="324" s="12" customFormat="1" hidden="1" x14ac:dyDescent="0.3"/>
    <row r="325" s="12" customFormat="1" hidden="1" x14ac:dyDescent="0.3"/>
    <row r="326" s="12" customFormat="1" hidden="1" x14ac:dyDescent="0.3"/>
    <row r="327" s="12" customFormat="1" hidden="1" x14ac:dyDescent="0.3"/>
    <row r="328" s="12" customFormat="1" hidden="1" x14ac:dyDescent="0.3"/>
    <row r="329" s="12" customFormat="1" hidden="1" x14ac:dyDescent="0.3"/>
    <row r="330" s="12" customFormat="1" hidden="1" x14ac:dyDescent="0.3"/>
    <row r="331" s="12" customFormat="1" hidden="1" x14ac:dyDescent="0.3"/>
    <row r="332" s="12" customFormat="1" hidden="1" x14ac:dyDescent="0.3"/>
    <row r="333" s="12" customFormat="1" hidden="1" x14ac:dyDescent="0.3"/>
    <row r="334" s="12" customFormat="1" hidden="1" x14ac:dyDescent="0.3"/>
    <row r="335" s="12" customFormat="1" hidden="1" x14ac:dyDescent="0.3"/>
    <row r="336" s="12" customFormat="1" hidden="1" x14ac:dyDescent="0.3"/>
    <row r="337" s="12" customFormat="1" hidden="1" x14ac:dyDescent="0.3"/>
    <row r="338" s="12" customFormat="1" hidden="1" x14ac:dyDescent="0.3"/>
    <row r="339" s="12" customFormat="1" hidden="1" x14ac:dyDescent="0.3"/>
    <row r="340" s="12" customFormat="1" hidden="1" x14ac:dyDescent="0.3"/>
    <row r="341" s="12" customFormat="1" hidden="1" x14ac:dyDescent="0.3"/>
    <row r="342" s="12" customFormat="1" hidden="1" x14ac:dyDescent="0.3"/>
    <row r="343" s="12" customFormat="1" hidden="1" x14ac:dyDescent="0.3"/>
    <row r="344" s="12" customFormat="1" hidden="1" x14ac:dyDescent="0.3"/>
    <row r="345" s="12" customFormat="1" hidden="1" x14ac:dyDescent="0.3"/>
    <row r="346" s="12" customFormat="1" hidden="1" x14ac:dyDescent="0.3"/>
    <row r="347" s="12" customFormat="1" hidden="1" x14ac:dyDescent="0.3"/>
    <row r="348" s="12" customFormat="1" hidden="1" x14ac:dyDescent="0.3"/>
    <row r="349" s="12" customFormat="1" hidden="1" x14ac:dyDescent="0.3"/>
    <row r="350" s="12" customFormat="1" hidden="1" x14ac:dyDescent="0.3"/>
    <row r="351" s="12" customFormat="1" hidden="1" x14ac:dyDescent="0.3"/>
    <row r="352" s="12" customFormat="1" hidden="1" x14ac:dyDescent="0.3"/>
    <row r="353" s="12" customFormat="1" hidden="1" x14ac:dyDescent="0.3"/>
    <row r="354" s="12" customFormat="1" hidden="1" x14ac:dyDescent="0.3"/>
    <row r="355" s="12" customFormat="1" hidden="1" x14ac:dyDescent="0.3"/>
    <row r="356" s="12" customFormat="1" hidden="1" x14ac:dyDescent="0.3"/>
    <row r="357" s="12" customFormat="1" hidden="1" x14ac:dyDescent="0.3"/>
    <row r="358" s="12" customFormat="1" hidden="1" x14ac:dyDescent="0.3"/>
    <row r="359" s="12" customFormat="1" hidden="1" x14ac:dyDescent="0.3"/>
    <row r="360" s="12" customFormat="1" hidden="1" x14ac:dyDescent="0.3"/>
    <row r="361" s="12" customFormat="1" hidden="1" x14ac:dyDescent="0.3"/>
    <row r="362" s="12" customFormat="1" hidden="1" x14ac:dyDescent="0.3"/>
    <row r="363" s="12" customFormat="1" hidden="1" x14ac:dyDescent="0.3"/>
    <row r="364" s="12" customFormat="1" hidden="1" x14ac:dyDescent="0.3"/>
    <row r="365" s="12" customFormat="1" hidden="1" x14ac:dyDescent="0.3"/>
    <row r="366" s="12" customFormat="1" hidden="1" x14ac:dyDescent="0.3"/>
    <row r="367" s="12" customFormat="1" hidden="1" x14ac:dyDescent="0.3"/>
    <row r="368" s="12" customFormat="1" hidden="1" x14ac:dyDescent="0.3"/>
    <row r="369" s="12" customFormat="1" hidden="1" x14ac:dyDescent="0.3"/>
    <row r="370" s="12" customFormat="1" hidden="1" x14ac:dyDescent="0.3"/>
    <row r="371" s="12" customFormat="1" hidden="1" x14ac:dyDescent="0.3"/>
    <row r="372" s="12" customFormat="1" hidden="1" x14ac:dyDescent="0.3"/>
    <row r="373" s="12" customFormat="1" hidden="1" x14ac:dyDescent="0.3"/>
    <row r="374" s="12" customFormat="1" hidden="1" x14ac:dyDescent="0.3"/>
    <row r="375" s="12" customFormat="1" hidden="1" x14ac:dyDescent="0.3"/>
    <row r="376" s="12" customFormat="1" hidden="1" x14ac:dyDescent="0.3"/>
    <row r="377" s="12" customFormat="1" hidden="1" x14ac:dyDescent="0.3"/>
    <row r="378" s="12" customFormat="1" hidden="1" x14ac:dyDescent="0.3"/>
    <row r="379" s="12" customFormat="1" hidden="1" x14ac:dyDescent="0.3"/>
    <row r="380" s="12" customFormat="1" hidden="1" x14ac:dyDescent="0.3"/>
    <row r="381" s="12" customFormat="1" hidden="1" x14ac:dyDescent="0.3"/>
    <row r="382" s="12" customFormat="1" hidden="1" x14ac:dyDescent="0.3"/>
    <row r="383" s="12" customFormat="1" hidden="1" x14ac:dyDescent="0.3"/>
    <row r="384" s="12" customFormat="1" hidden="1" x14ac:dyDescent="0.3"/>
    <row r="385" s="12" customFormat="1" hidden="1" x14ac:dyDescent="0.3"/>
    <row r="386" s="12" customFormat="1" hidden="1" x14ac:dyDescent="0.3"/>
    <row r="387" s="12" customFormat="1" hidden="1" x14ac:dyDescent="0.3"/>
    <row r="388" s="12" customFormat="1" hidden="1" x14ac:dyDescent="0.3"/>
    <row r="389" s="12" customFormat="1" hidden="1" x14ac:dyDescent="0.3"/>
    <row r="390" s="12" customFormat="1" hidden="1" x14ac:dyDescent="0.3"/>
    <row r="391" s="12" customFormat="1" hidden="1" x14ac:dyDescent="0.3"/>
    <row r="392" s="12" customFormat="1" hidden="1" x14ac:dyDescent="0.3"/>
    <row r="393" s="12" customFormat="1" hidden="1" x14ac:dyDescent="0.3"/>
    <row r="394" s="12" customFormat="1" hidden="1" x14ac:dyDescent="0.3"/>
    <row r="395" s="12" customFormat="1" hidden="1" x14ac:dyDescent="0.3"/>
    <row r="396" s="12" customFormat="1" hidden="1" x14ac:dyDescent="0.3"/>
    <row r="397" s="12" customFormat="1" hidden="1" x14ac:dyDescent="0.3"/>
    <row r="398" s="12" customFormat="1" hidden="1" x14ac:dyDescent="0.3"/>
    <row r="399" s="12" customFormat="1" hidden="1" x14ac:dyDescent="0.3"/>
    <row r="400" s="12" customFormat="1" hidden="1" x14ac:dyDescent="0.3"/>
    <row r="401" s="12" customFormat="1" hidden="1" x14ac:dyDescent="0.3"/>
    <row r="402" s="12" customFormat="1" hidden="1" x14ac:dyDescent="0.3"/>
    <row r="403" s="12" customFormat="1" hidden="1" x14ac:dyDescent="0.3"/>
    <row r="404" s="12" customFormat="1" hidden="1" x14ac:dyDescent="0.3"/>
    <row r="405" s="12" customFormat="1" hidden="1" x14ac:dyDescent="0.3"/>
    <row r="406" s="12" customFormat="1" hidden="1" x14ac:dyDescent="0.3"/>
    <row r="407" s="12" customFormat="1" hidden="1" x14ac:dyDescent="0.3"/>
    <row r="408" s="12" customFormat="1" hidden="1" x14ac:dyDescent="0.3"/>
    <row r="409" s="12" customFormat="1" hidden="1" x14ac:dyDescent="0.3"/>
    <row r="410" s="12" customFormat="1" hidden="1" x14ac:dyDescent="0.3"/>
    <row r="411" s="12" customFormat="1" hidden="1" x14ac:dyDescent="0.3"/>
    <row r="412" s="12" customFormat="1" hidden="1" x14ac:dyDescent="0.3"/>
    <row r="413" s="12" customFormat="1" hidden="1" x14ac:dyDescent="0.3"/>
    <row r="414" s="12" customFormat="1" hidden="1" x14ac:dyDescent="0.3"/>
    <row r="415" s="12" customFormat="1" hidden="1" x14ac:dyDescent="0.3"/>
    <row r="416" s="12" customFormat="1" hidden="1" x14ac:dyDescent="0.3"/>
    <row r="417" s="12" customFormat="1" hidden="1" x14ac:dyDescent="0.3"/>
    <row r="418" s="12" customFormat="1" hidden="1" x14ac:dyDescent="0.3"/>
    <row r="419" s="12" customFormat="1" hidden="1" x14ac:dyDescent="0.3"/>
    <row r="420" s="12" customFormat="1" hidden="1" x14ac:dyDescent="0.3"/>
    <row r="421" s="12" customFormat="1" hidden="1" x14ac:dyDescent="0.3"/>
    <row r="422" s="12" customFormat="1" hidden="1" x14ac:dyDescent="0.3"/>
    <row r="423" s="12" customFormat="1" hidden="1" x14ac:dyDescent="0.3"/>
    <row r="424" s="12" customFormat="1" hidden="1" x14ac:dyDescent="0.3"/>
    <row r="425" s="12" customFormat="1" hidden="1" x14ac:dyDescent="0.3"/>
    <row r="426" s="12" customFormat="1" hidden="1" x14ac:dyDescent="0.3"/>
    <row r="427" s="12" customFormat="1" hidden="1" x14ac:dyDescent="0.3"/>
    <row r="428" s="12" customFormat="1" hidden="1" x14ac:dyDescent="0.3"/>
    <row r="429" s="12" customFormat="1" hidden="1" x14ac:dyDescent="0.3"/>
    <row r="430" s="12" customFormat="1" hidden="1" x14ac:dyDescent="0.3"/>
    <row r="431" s="12" customFormat="1" hidden="1" x14ac:dyDescent="0.3"/>
    <row r="432" s="12" customFormat="1" hidden="1" x14ac:dyDescent="0.3"/>
    <row r="433" s="12" customFormat="1" hidden="1" x14ac:dyDescent="0.3"/>
    <row r="434" s="12" customFormat="1" hidden="1" x14ac:dyDescent="0.3"/>
    <row r="435" s="12" customFormat="1" hidden="1" x14ac:dyDescent="0.3"/>
    <row r="436" s="12" customFormat="1" hidden="1" x14ac:dyDescent="0.3"/>
    <row r="437" s="12" customFormat="1" hidden="1" x14ac:dyDescent="0.3"/>
    <row r="438" s="12" customFormat="1" hidden="1" x14ac:dyDescent="0.3"/>
    <row r="439" s="12" customFormat="1" hidden="1" x14ac:dyDescent="0.3"/>
    <row r="440" s="12" customFormat="1" hidden="1" x14ac:dyDescent="0.3"/>
    <row r="441" s="12" customFormat="1" hidden="1" x14ac:dyDescent="0.3"/>
    <row r="442" s="12" customFormat="1" hidden="1" x14ac:dyDescent="0.3"/>
    <row r="443" s="12" customFormat="1" hidden="1" x14ac:dyDescent="0.3"/>
    <row r="444" s="12" customFormat="1" hidden="1" x14ac:dyDescent="0.3"/>
    <row r="445" s="12" customFormat="1" hidden="1" x14ac:dyDescent="0.3"/>
    <row r="446" s="12" customFormat="1" hidden="1" x14ac:dyDescent="0.3"/>
    <row r="447" s="12" customFormat="1" hidden="1" x14ac:dyDescent="0.3"/>
    <row r="448" s="12" customFormat="1" hidden="1" x14ac:dyDescent="0.3"/>
    <row r="449" s="12" customFormat="1" hidden="1" x14ac:dyDescent="0.3"/>
    <row r="450" s="12" customFormat="1" hidden="1" x14ac:dyDescent="0.3"/>
    <row r="451" s="12" customFormat="1" hidden="1" x14ac:dyDescent="0.3"/>
    <row r="452" s="12" customFormat="1" hidden="1" x14ac:dyDescent="0.3"/>
    <row r="453" s="12" customFormat="1" hidden="1" x14ac:dyDescent="0.3"/>
    <row r="454" ht="14.4" customHeight="1" x14ac:dyDescent="0.3"/>
    <row r="455" ht="14.4" customHeight="1" x14ac:dyDescent="0.3"/>
    <row r="456" ht="14.4" customHeight="1" x14ac:dyDescent="0.3"/>
  </sheetData>
  <sheetProtection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A00-000000000000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62"/>
  <sheetViews>
    <sheetView showGridLines="0" topLeftCell="A7" zoomScaleNormal="100" workbookViewId="0">
      <selection activeCell="B8" sqref="B8:AA8"/>
    </sheetView>
  </sheetViews>
  <sheetFormatPr defaultColWidth="0" defaultRowHeight="0" customHeight="1" zeroHeight="1" x14ac:dyDescent="0.3"/>
  <cols>
    <col min="1" max="1" width="4" style="33" customWidth="1"/>
    <col min="2" max="2" width="60.109375" style="33" customWidth="1"/>
    <col min="3" max="3" width="11.6640625" style="33" customWidth="1"/>
    <col min="4" max="4" width="7.6640625" style="33" customWidth="1"/>
    <col min="5" max="5" width="10" style="33" customWidth="1"/>
    <col min="6" max="7" width="12" style="33" customWidth="1"/>
    <col min="8" max="8" width="5.109375" style="123" customWidth="1"/>
    <col min="9" max="9" width="6.88671875" style="33" customWidth="1"/>
    <col min="10" max="10" width="5.109375" style="123" customWidth="1"/>
    <col min="11" max="11" width="6.88671875" style="33" customWidth="1"/>
    <col min="12" max="12" width="5.109375" style="123" customWidth="1"/>
    <col min="13" max="13" width="6.88671875" style="33" customWidth="1"/>
    <col min="14" max="14" width="5.109375" style="123" customWidth="1"/>
    <col min="15" max="15" width="6.88671875" style="33" customWidth="1"/>
    <col min="16" max="16" width="11.5546875" style="33" customWidth="1"/>
    <col min="17" max="17" width="5.109375" style="123" customWidth="1"/>
    <col min="18" max="18" width="6.88671875" style="33" customWidth="1"/>
    <col min="19" max="19" width="5.109375" style="123" customWidth="1"/>
    <col min="20" max="20" width="6.88671875" style="33" customWidth="1"/>
    <col min="21" max="21" width="5.109375" style="123" customWidth="1"/>
    <col min="22" max="22" width="6.88671875" style="33" customWidth="1"/>
    <col min="23" max="23" width="5.109375" style="123" customWidth="1"/>
    <col min="24" max="24" width="6.88671875" style="33" customWidth="1"/>
    <col min="25" max="25" width="11.5546875" style="33" customWidth="1"/>
    <col min="26" max="27" width="10.6640625" style="33" customWidth="1"/>
    <col min="28" max="28" width="9.109375" style="33" customWidth="1"/>
    <col min="29" max="30" width="0" style="33" hidden="1" customWidth="1"/>
    <col min="31" max="16384" width="9.109375" style="33" hidden="1"/>
  </cols>
  <sheetData>
    <row r="1" spans="1:28" ht="35.25" customHeight="1" x14ac:dyDescent="0.3">
      <c r="A1" s="10"/>
      <c r="B1" s="97" t="s">
        <v>101</v>
      </c>
      <c r="C1" s="84"/>
      <c r="D1" s="84"/>
      <c r="E1" s="84"/>
      <c r="F1" s="84"/>
      <c r="G1" s="84"/>
      <c r="H1" s="117"/>
      <c r="I1" s="84"/>
      <c r="J1" s="117"/>
      <c r="K1" s="84"/>
      <c r="L1" s="117"/>
      <c r="M1" s="84"/>
      <c r="N1" s="117"/>
      <c r="O1" s="84"/>
      <c r="P1" s="84"/>
      <c r="Q1" s="117"/>
      <c r="R1" s="84"/>
      <c r="S1" s="117"/>
      <c r="T1" s="84"/>
      <c r="U1" s="117"/>
      <c r="V1" s="84"/>
      <c r="W1" s="117"/>
      <c r="X1" s="84"/>
      <c r="Y1" s="84"/>
      <c r="Z1" s="84"/>
      <c r="AA1" s="84"/>
      <c r="AB1" s="84"/>
    </row>
    <row r="2" spans="1:28" s="42" customFormat="1" ht="5.0999999999999996" customHeight="1" x14ac:dyDescent="0.3">
      <c r="B2" s="124"/>
      <c r="C2" s="125"/>
      <c r="D2" s="125"/>
      <c r="E2" s="125"/>
      <c r="F2" s="125"/>
      <c r="G2" s="125"/>
      <c r="H2" s="126"/>
      <c r="I2" s="125"/>
      <c r="J2" s="126"/>
      <c r="K2" s="125"/>
      <c r="L2" s="126"/>
      <c r="M2" s="125"/>
      <c r="N2" s="126"/>
      <c r="O2" s="125"/>
      <c r="P2" s="125"/>
      <c r="Q2" s="126"/>
      <c r="R2" s="125"/>
      <c r="S2" s="126"/>
      <c r="T2" s="125"/>
      <c r="U2" s="126"/>
      <c r="V2" s="125"/>
      <c r="W2" s="126"/>
      <c r="X2" s="125"/>
      <c r="Y2" s="125"/>
      <c r="AB2" s="125"/>
    </row>
    <row r="3" spans="1:28" s="93" customFormat="1" ht="31.5" customHeight="1" x14ac:dyDescent="0.35">
      <c r="B3" s="127" t="s">
        <v>95</v>
      </c>
      <c r="C3" s="94"/>
      <c r="D3" s="94"/>
      <c r="E3" s="94"/>
      <c r="F3" s="94"/>
      <c r="H3" s="118"/>
      <c r="I3" s="94"/>
      <c r="J3" s="118"/>
      <c r="K3" s="94"/>
      <c r="L3" s="118"/>
      <c r="M3" s="95"/>
      <c r="N3" s="118"/>
      <c r="O3" s="95"/>
      <c r="P3" s="95"/>
      <c r="Q3" s="118"/>
      <c r="R3" s="95"/>
      <c r="S3" s="118"/>
      <c r="T3" s="95"/>
      <c r="U3" s="118"/>
      <c r="V3" s="95"/>
      <c r="W3" s="118"/>
      <c r="X3" s="95"/>
      <c r="Y3" s="95"/>
      <c r="Z3" s="94"/>
      <c r="AA3" s="96"/>
    </row>
    <row r="4" spans="1:28" ht="35.4" customHeight="1" thickBot="1" x14ac:dyDescent="0.5">
      <c r="B4" s="128" t="s">
        <v>177</v>
      </c>
      <c r="C4" s="13"/>
      <c r="D4" s="13"/>
      <c r="E4" s="13"/>
      <c r="F4" s="43"/>
      <c r="G4" s="13"/>
      <c r="H4" s="119"/>
      <c r="I4" s="13"/>
      <c r="J4" s="119"/>
      <c r="K4" s="13"/>
      <c r="L4" s="119"/>
      <c r="M4" s="14"/>
      <c r="N4" s="119"/>
      <c r="O4" s="14"/>
      <c r="P4" s="14"/>
      <c r="Q4" s="119"/>
      <c r="R4" s="14"/>
      <c r="S4" s="119"/>
      <c r="T4" s="14"/>
      <c r="U4" s="119"/>
      <c r="V4" s="14"/>
      <c r="W4" s="119"/>
      <c r="X4" s="14"/>
      <c r="Y4" s="14"/>
      <c r="Z4" s="13"/>
      <c r="AA4" s="15"/>
    </row>
    <row r="5" spans="1:28" ht="30.75" customHeight="1" thickTop="1" thickBot="1" x14ac:dyDescent="0.35">
      <c r="B5" s="338" t="s">
        <v>14</v>
      </c>
      <c r="C5" s="339" t="s">
        <v>18</v>
      </c>
      <c r="D5" s="339" t="s">
        <v>65</v>
      </c>
      <c r="E5" s="339" t="s">
        <v>19</v>
      </c>
      <c r="F5" s="343" t="s">
        <v>24</v>
      </c>
      <c r="G5" s="344"/>
      <c r="H5" s="343" t="s">
        <v>27</v>
      </c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3" t="s">
        <v>3</v>
      </c>
      <c r="AA5" s="344"/>
    </row>
    <row r="6" spans="1:28" ht="44.1" customHeight="1" thickTop="1" thickBot="1" x14ac:dyDescent="0.35">
      <c r="B6" s="338"/>
      <c r="C6" s="340"/>
      <c r="D6" s="340"/>
      <c r="E6" s="340"/>
      <c r="F6" s="345" t="s">
        <v>25</v>
      </c>
      <c r="G6" s="347" t="s">
        <v>26</v>
      </c>
      <c r="H6" s="343" t="s">
        <v>32</v>
      </c>
      <c r="I6" s="349"/>
      <c r="J6" s="349"/>
      <c r="K6" s="349"/>
      <c r="L6" s="349"/>
      <c r="M6" s="349"/>
      <c r="N6" s="349"/>
      <c r="O6" s="349"/>
      <c r="P6" s="349"/>
      <c r="Q6" s="343" t="s">
        <v>31</v>
      </c>
      <c r="R6" s="349"/>
      <c r="S6" s="349"/>
      <c r="T6" s="349"/>
      <c r="U6" s="349"/>
      <c r="V6" s="349"/>
      <c r="W6" s="349"/>
      <c r="X6" s="349"/>
      <c r="Y6" s="349"/>
      <c r="Z6" s="345" t="s">
        <v>9</v>
      </c>
      <c r="AA6" s="347" t="s">
        <v>17</v>
      </c>
    </row>
    <row r="7" spans="1:28" ht="49.5" customHeight="1" thickTop="1" thickBot="1" x14ac:dyDescent="0.35">
      <c r="B7" s="338"/>
      <c r="C7" s="341"/>
      <c r="D7" s="341"/>
      <c r="E7" s="341"/>
      <c r="F7" s="346"/>
      <c r="G7" s="348"/>
      <c r="H7" s="350" t="s">
        <v>117</v>
      </c>
      <c r="I7" s="351"/>
      <c r="J7" s="318" t="s">
        <v>28</v>
      </c>
      <c r="K7" s="318"/>
      <c r="L7" s="318" t="s">
        <v>29</v>
      </c>
      <c r="M7" s="318"/>
      <c r="N7" s="317" t="s">
        <v>30</v>
      </c>
      <c r="O7" s="318"/>
      <c r="P7" s="235" t="s">
        <v>118</v>
      </c>
      <c r="Q7" s="350" t="s">
        <v>117</v>
      </c>
      <c r="R7" s="351"/>
      <c r="S7" s="318" t="s">
        <v>28</v>
      </c>
      <c r="T7" s="318"/>
      <c r="U7" s="318" t="s">
        <v>29</v>
      </c>
      <c r="V7" s="318"/>
      <c r="W7" s="317" t="s">
        <v>30</v>
      </c>
      <c r="X7" s="318"/>
      <c r="Y7" s="235" t="s">
        <v>118</v>
      </c>
      <c r="Z7" s="346"/>
      <c r="AA7" s="348"/>
    </row>
    <row r="8" spans="1:28" s="8" customFormat="1" ht="21.75" customHeight="1" thickTop="1" thickBot="1" x14ac:dyDescent="0.35">
      <c r="B8" s="25" t="str">
        <f>INDEX(Q4_Adult,14,2)</f>
        <v>Bristol, Bristol Heart Institute</v>
      </c>
      <c r="C8" s="25" t="s">
        <v>20</v>
      </c>
      <c r="D8" s="57">
        <v>1</v>
      </c>
      <c r="E8" s="25" t="s">
        <v>21</v>
      </c>
      <c r="F8" s="65" t="str">
        <f>INDEX(Q4_Adult,14,7)</f>
        <v>No data</v>
      </c>
      <c r="G8" s="71" t="str">
        <f>INDEX(Q4_Adult,14,8)</f>
        <v>No data</v>
      </c>
      <c r="H8" s="213" t="str">
        <f>INDEX(Q4_Adult,14,9)</f>
        <v>No data</v>
      </c>
      <c r="I8" s="203">
        <f>IFERROR(H8/P8,0)</f>
        <v>0</v>
      </c>
      <c r="J8" s="204" t="str">
        <f>INDEX(Q4_Adult,14,10)</f>
        <v>No data</v>
      </c>
      <c r="K8" s="203">
        <f>IFERROR(J8/P8,0)</f>
        <v>0</v>
      </c>
      <c r="L8" s="204" t="str">
        <f>INDEX(Q4_Adult,14,11)</f>
        <v>No data</v>
      </c>
      <c r="M8" s="203">
        <f>IFERROR(L8/P8,0)</f>
        <v>0</v>
      </c>
      <c r="N8" s="204" t="str">
        <f>INDEX(Q4_Adult,14,12)</f>
        <v>No data</v>
      </c>
      <c r="O8" s="203">
        <f>IFERROR(N8/P8,0)</f>
        <v>0</v>
      </c>
      <c r="P8" s="205" t="str">
        <f>INDEX(Q4_Adult,14,13)</f>
        <v>No data</v>
      </c>
      <c r="Q8" s="202" t="str">
        <f>INDEX(Q4_Adult,14,15)</f>
        <v>No data</v>
      </c>
      <c r="R8" s="203">
        <f>IFERROR(Q8/Y8,0)</f>
        <v>0</v>
      </c>
      <c r="S8" s="204" t="str">
        <f>INDEX(Q4_Adult,14,16)</f>
        <v>No data</v>
      </c>
      <c r="T8" s="203">
        <f>IFERROR(S8/Y8,0)</f>
        <v>0</v>
      </c>
      <c r="U8" s="206" t="str">
        <f>INDEX(Q4_Adult,14,17)</f>
        <v>No data</v>
      </c>
      <c r="V8" s="203">
        <f>IFERROR(U8/Y8,0)</f>
        <v>0</v>
      </c>
      <c r="W8" s="204" t="str">
        <f>INDEX(Q4_Adult,14,18)</f>
        <v>No data</v>
      </c>
      <c r="X8" s="203">
        <f>IFERROR(W8/Y8,0)</f>
        <v>0</v>
      </c>
      <c r="Y8" s="114" t="str">
        <f>INDEX(Q4_Adult,14,19)</f>
        <v>No data</v>
      </c>
      <c r="Z8" s="67" t="str">
        <f>INDEX(Q4_Adult,14,21)</f>
        <v>No data</v>
      </c>
      <c r="AA8" s="68" t="str">
        <f>INDEX(Q4_Adult,14,22)</f>
        <v>No data</v>
      </c>
    </row>
    <row r="9" spans="1:28" s="8" customFormat="1" ht="21.75" customHeight="1" thickTop="1" thickBot="1" x14ac:dyDescent="0.35">
      <c r="B9" s="26" t="str">
        <f>INDEX(Q4_Adult,6,2)</f>
        <v>University Hospital Wales</v>
      </c>
      <c r="C9" s="26" t="s">
        <v>20</v>
      </c>
      <c r="D9" s="58">
        <v>2</v>
      </c>
      <c r="E9" s="26" t="s">
        <v>22</v>
      </c>
      <c r="F9" s="66" t="str">
        <f>INDEX(Q4_Adult,6,7)</f>
        <v>No data</v>
      </c>
      <c r="G9" s="72" t="str">
        <f>INDEX(Q4_Adult,6,8)</f>
        <v>No data</v>
      </c>
      <c r="H9" s="207" t="str">
        <f>INDEX(Q4_Adult,6,9)</f>
        <v>No data</v>
      </c>
      <c r="I9" s="208">
        <f>IFERROR(H9/P9,0)</f>
        <v>0</v>
      </c>
      <c r="J9" s="209" t="str">
        <f>INDEX(Q4_Adult,6,10)</f>
        <v>No data</v>
      </c>
      <c r="K9" s="208">
        <f>IFERROR(J9/P9,0)</f>
        <v>0</v>
      </c>
      <c r="L9" s="209" t="str">
        <f>INDEX(Q4_Adult,6,11)</f>
        <v>No data</v>
      </c>
      <c r="M9" s="208">
        <f>IFERROR(L9/P9,0)</f>
        <v>0</v>
      </c>
      <c r="N9" s="209" t="str">
        <f>INDEX(Q4_Adult,6,12)</f>
        <v>No data</v>
      </c>
      <c r="O9" s="208">
        <f>IFERROR(N9/P9,0)</f>
        <v>0</v>
      </c>
      <c r="P9" s="210" t="str">
        <f>INDEX(Q4_Adult,6,13)</f>
        <v>No data</v>
      </c>
      <c r="Q9" s="211" t="str">
        <f>INDEX(Q4_Adult,6,15)</f>
        <v>No data</v>
      </c>
      <c r="R9" s="208">
        <f>IFERROR(Q9/Y9,0)</f>
        <v>0</v>
      </c>
      <c r="S9" s="209" t="str">
        <f>INDEX(Q4_Adult,6,16)</f>
        <v>No data</v>
      </c>
      <c r="T9" s="208">
        <f>IFERROR(S9/Y9,0)</f>
        <v>0</v>
      </c>
      <c r="U9" s="212" t="str">
        <f>INDEX(Q4_Adult,6,17)</f>
        <v>No data</v>
      </c>
      <c r="V9" s="208">
        <f>IFERROR(U9/Y9,0)</f>
        <v>0</v>
      </c>
      <c r="W9" s="209" t="str">
        <f>INDEX(Q4_Adult,6,18)</f>
        <v>No data</v>
      </c>
      <c r="X9" s="208">
        <f>IFERROR(W9/Y9,0)</f>
        <v>0</v>
      </c>
      <c r="Y9" s="115" t="str">
        <f>INDEX(Q4_Adult,6,19)</f>
        <v>No data</v>
      </c>
      <c r="Z9" s="69" t="str">
        <f>INDEX(Q4_Adult,6,21)</f>
        <v>No data</v>
      </c>
      <c r="AA9" s="70" t="str">
        <f>INDEX(Q4_Adult,6,22)</f>
        <v>No data</v>
      </c>
    </row>
    <row r="10" spans="1:28" s="83" customFormat="1" ht="21.75" customHeight="1" thickTop="1" thickBot="1" x14ac:dyDescent="0.35">
      <c r="B10" s="25" t="str">
        <f>INDEX(Q4_Adult,5,2)</f>
        <v>Aneurin Bevan UHB, Nevill Hall &amp; Royal Gwent Hospitals</v>
      </c>
      <c r="C10" s="25" t="s">
        <v>20</v>
      </c>
      <c r="D10" s="57">
        <v>3</v>
      </c>
      <c r="E10" s="25" t="s">
        <v>22</v>
      </c>
      <c r="F10" s="65" t="str">
        <f>INDEX(Q4_Adult,5,7)</f>
        <v>No data</v>
      </c>
      <c r="G10" s="71" t="str">
        <f>INDEX(Q4_Adult,5,8)</f>
        <v>No data</v>
      </c>
      <c r="H10" s="213" t="str">
        <f>INDEX(Q4_Adult,5,9)</f>
        <v>No data</v>
      </c>
      <c r="I10" s="203">
        <f>IFERROR(H10/P10,0)</f>
        <v>0</v>
      </c>
      <c r="J10" s="204" t="str">
        <f>INDEX(Q4_Adult,5,10)</f>
        <v>No data</v>
      </c>
      <c r="K10" s="203">
        <f>IFERROR(J10/P10,0)</f>
        <v>0</v>
      </c>
      <c r="L10" s="204" t="str">
        <f>INDEX(Q4_Adult,5,11)</f>
        <v>No data</v>
      </c>
      <c r="M10" s="203">
        <f>IFERROR(L10/P10,0)</f>
        <v>0</v>
      </c>
      <c r="N10" s="204" t="str">
        <f>INDEX(Q4_Adult,5,12)</f>
        <v>No data</v>
      </c>
      <c r="O10" s="203">
        <f>IFERROR(N10/P10,0)</f>
        <v>0</v>
      </c>
      <c r="P10" s="205" t="str">
        <f>INDEX(Q4_Adult,5,13)</f>
        <v>No data</v>
      </c>
      <c r="Q10" s="202" t="str">
        <f>INDEX(Q4_Adult,5,15)</f>
        <v>No data</v>
      </c>
      <c r="R10" s="203">
        <f>IFERROR(Q10/Y10,0)</f>
        <v>0</v>
      </c>
      <c r="S10" s="204" t="str">
        <f>INDEX(Q4_Adult,5,16)</f>
        <v>No data</v>
      </c>
      <c r="T10" s="203">
        <f>IFERROR(S10/Y10,0)</f>
        <v>0</v>
      </c>
      <c r="U10" s="206" t="str">
        <f>INDEX(Q4_Adult,5,17)</f>
        <v>No data</v>
      </c>
      <c r="V10" s="203">
        <f>IFERROR(U10/Y10,0)</f>
        <v>0</v>
      </c>
      <c r="W10" s="204" t="str">
        <f>INDEX(Q4_Adult,5,18)</f>
        <v>No data</v>
      </c>
      <c r="X10" s="203">
        <f>IFERROR(W10/Y10,0)</f>
        <v>0</v>
      </c>
      <c r="Y10" s="114" t="str">
        <f>INDEX(Q4_Adult,5,19)</f>
        <v>No data</v>
      </c>
      <c r="Z10" s="67" t="str">
        <f>INDEX(Q4_Adult,5,21)</f>
        <v>No data</v>
      </c>
      <c r="AA10" s="68" t="str">
        <f>INDEX(Q4_Adult,5,22)</f>
        <v>No data</v>
      </c>
    </row>
    <row r="11" spans="1:28" s="8" customFormat="1" ht="21.75" customHeight="1" thickTop="1" thickBot="1" x14ac:dyDescent="0.35">
      <c r="B11" s="26" t="str">
        <f>INDEX(Q4_Adult,7,2)</f>
        <v>Cwm Taf Morgannwg UHB, Princess of Wales Hospital</v>
      </c>
      <c r="C11" s="26" t="s">
        <v>20</v>
      </c>
      <c r="D11" s="58">
        <v>3</v>
      </c>
      <c r="E11" s="26" t="s">
        <v>22</v>
      </c>
      <c r="F11" s="66" t="str">
        <f>INDEX(Q4_Adult,7,7)</f>
        <v>No data</v>
      </c>
      <c r="G11" s="72" t="str">
        <f>INDEX(Q4_Adult,7,8)</f>
        <v>No data</v>
      </c>
      <c r="H11" s="207" t="str">
        <f>INDEX(Q4_Adult,7,9)</f>
        <v>No data</v>
      </c>
      <c r="I11" s="208">
        <f t="shared" ref="I11:I24" si="0">IFERROR(H11/P11,0)</f>
        <v>0</v>
      </c>
      <c r="J11" s="209" t="str">
        <f>INDEX(Q4_Adult,7,10)</f>
        <v>No data</v>
      </c>
      <c r="K11" s="208">
        <f t="shared" ref="K11:K24" si="1">IFERROR(J11/P11,0)</f>
        <v>0</v>
      </c>
      <c r="L11" s="209" t="str">
        <f>INDEX(Q4_Adult,7,11)</f>
        <v>No data</v>
      </c>
      <c r="M11" s="208">
        <f t="shared" ref="M11:M24" si="2">IFERROR(L11/P11,0)</f>
        <v>0</v>
      </c>
      <c r="N11" s="209" t="str">
        <f>INDEX(Q4_Adult,7,12)</f>
        <v>No data</v>
      </c>
      <c r="O11" s="208">
        <f t="shared" ref="O11:O24" si="3">IFERROR(N11/P11,0)</f>
        <v>0</v>
      </c>
      <c r="P11" s="210" t="str">
        <f>INDEX(Q4_Adult,7,13)</f>
        <v>No data</v>
      </c>
      <c r="Q11" s="211" t="str">
        <f>INDEX(Q4_Adult,7,15)</f>
        <v>No data</v>
      </c>
      <c r="R11" s="208">
        <f t="shared" ref="R11:R24" si="4">IFERROR(Q11/Y11,0)</f>
        <v>0</v>
      </c>
      <c r="S11" s="209" t="str">
        <f>INDEX(Q4_Adult,7,16)</f>
        <v>No data</v>
      </c>
      <c r="T11" s="208">
        <f t="shared" ref="T11:T24" si="5">IFERROR(S11/Y11,0)</f>
        <v>0</v>
      </c>
      <c r="U11" s="212" t="str">
        <f>INDEX(Q4_Adult,7,17)</f>
        <v>No data</v>
      </c>
      <c r="V11" s="208">
        <f t="shared" ref="V11:V24" si="6">IFERROR(U11/Y11,0)</f>
        <v>0</v>
      </c>
      <c r="W11" s="209" t="str">
        <f>INDEX(Q4_Adult,7,18)</f>
        <v>No data</v>
      </c>
      <c r="X11" s="208">
        <f t="shared" ref="X11:X24" si="7">IFERROR(W11/Y11,0)</f>
        <v>0</v>
      </c>
      <c r="Y11" s="115" t="str">
        <f>INDEX(Q4_Adult,7,19)</f>
        <v>No data</v>
      </c>
      <c r="Z11" s="69" t="str">
        <f>INDEX(Q4_Adult,7,21)</f>
        <v>No data</v>
      </c>
      <c r="AA11" s="70" t="str">
        <f>INDEX(Q4_Adult,7,22)</f>
        <v>No data</v>
      </c>
    </row>
    <row r="12" spans="1:28" s="8" customFormat="1" ht="21.75" customHeight="1" thickTop="1" thickBot="1" x14ac:dyDescent="0.35">
      <c r="B12" s="25" t="str">
        <f>INDEX(Q4_Adult,8,2)</f>
        <v xml:space="preserve">Cwm Taf Morgannwg UHB, Royal Glamorgan Hospital </v>
      </c>
      <c r="C12" s="25" t="s">
        <v>20</v>
      </c>
      <c r="D12" s="57">
        <v>3</v>
      </c>
      <c r="E12" s="25" t="s">
        <v>22</v>
      </c>
      <c r="F12" s="65" t="str">
        <f>INDEX(Q4_Adult,8,7)</f>
        <v>No data</v>
      </c>
      <c r="G12" s="71" t="str">
        <f>INDEX(Q4_Adult,8,8)</f>
        <v>No data</v>
      </c>
      <c r="H12" s="213" t="str">
        <f>INDEX(Q4_Adult,8,9)</f>
        <v>No data</v>
      </c>
      <c r="I12" s="203">
        <f t="shared" si="0"/>
        <v>0</v>
      </c>
      <c r="J12" s="204" t="str">
        <f>INDEX(Q4_Adult,8,10)</f>
        <v>No data</v>
      </c>
      <c r="K12" s="203">
        <f t="shared" si="1"/>
        <v>0</v>
      </c>
      <c r="L12" s="204" t="str">
        <f>INDEX(Q4_Adult,8,11)</f>
        <v>No data</v>
      </c>
      <c r="M12" s="203">
        <f t="shared" si="2"/>
        <v>0</v>
      </c>
      <c r="N12" s="204" t="str">
        <f>INDEX(Q4_Adult,8,12)</f>
        <v>No data</v>
      </c>
      <c r="O12" s="203">
        <f t="shared" si="3"/>
        <v>0</v>
      </c>
      <c r="P12" s="205" t="str">
        <f>INDEX(Q4_Adult,8,13)</f>
        <v>No data</v>
      </c>
      <c r="Q12" s="202" t="str">
        <f>INDEX(Q4_Adult,8,15)</f>
        <v>No data</v>
      </c>
      <c r="R12" s="203">
        <f t="shared" si="4"/>
        <v>0</v>
      </c>
      <c r="S12" s="204" t="str">
        <f>INDEX(Q4_Adult,8,16)</f>
        <v>No data</v>
      </c>
      <c r="T12" s="203">
        <f t="shared" si="5"/>
        <v>0</v>
      </c>
      <c r="U12" s="206" t="str">
        <f>INDEX(Q4_Adult,8,17)</f>
        <v>No data</v>
      </c>
      <c r="V12" s="203">
        <f t="shared" si="6"/>
        <v>0</v>
      </c>
      <c r="W12" s="204" t="str">
        <f>INDEX(Q4_Adult,8,18)</f>
        <v>No data</v>
      </c>
      <c r="X12" s="203">
        <f t="shared" si="7"/>
        <v>0</v>
      </c>
      <c r="Y12" s="114" t="str">
        <f>INDEX(Q4_Adult,8,19)</f>
        <v>No data</v>
      </c>
      <c r="Z12" s="67" t="str">
        <f>INDEX(Q4_Adult,8,21)</f>
        <v>No data</v>
      </c>
      <c r="AA12" s="68" t="str">
        <f>INDEX(Q4_Adult,8,22)</f>
        <v>No data</v>
      </c>
    </row>
    <row r="13" spans="1:28" s="8" customFormat="1" ht="21.75" customHeight="1" thickTop="1" thickBot="1" x14ac:dyDescent="0.35">
      <c r="B13" s="26" t="str">
        <f>INDEX(Q4_Adult,9,2)</f>
        <v>Cwm Taf Morgannwg UHB, Prince Charles Hospital</v>
      </c>
      <c r="C13" s="26" t="s">
        <v>20</v>
      </c>
      <c r="D13" s="58">
        <v>3</v>
      </c>
      <c r="E13" s="26" t="s">
        <v>22</v>
      </c>
      <c r="F13" s="66" t="str">
        <f>INDEX(Q4_Adult,9,7)</f>
        <v>No data</v>
      </c>
      <c r="G13" s="72" t="str">
        <f>INDEX(Q4_Adult,9,8)</f>
        <v>No data</v>
      </c>
      <c r="H13" s="207" t="str">
        <f>INDEX(Q4_Adult,9,9)</f>
        <v>No data</v>
      </c>
      <c r="I13" s="208">
        <f t="shared" si="0"/>
        <v>0</v>
      </c>
      <c r="J13" s="209" t="str">
        <f>INDEX(Q4_Adult,9,10)</f>
        <v>No data</v>
      </c>
      <c r="K13" s="208">
        <f t="shared" si="1"/>
        <v>0</v>
      </c>
      <c r="L13" s="209" t="str">
        <f>INDEX(Q4_Adult,9,11)</f>
        <v>No data</v>
      </c>
      <c r="M13" s="208">
        <f t="shared" si="2"/>
        <v>0</v>
      </c>
      <c r="N13" s="209" t="str">
        <f>INDEX(Q4_Adult,9,12)</f>
        <v>No data</v>
      </c>
      <c r="O13" s="208">
        <f t="shared" si="3"/>
        <v>0</v>
      </c>
      <c r="P13" s="210" t="str">
        <f>INDEX(Q4_Adult,9,13)</f>
        <v>No data</v>
      </c>
      <c r="Q13" s="211" t="str">
        <f>INDEX(Q4_Adult,9,15)</f>
        <v>No data</v>
      </c>
      <c r="R13" s="208">
        <f t="shared" si="4"/>
        <v>0</v>
      </c>
      <c r="S13" s="209" t="str">
        <f>INDEX(Q4_Adult,9,16)</f>
        <v>No data</v>
      </c>
      <c r="T13" s="208">
        <f t="shared" si="5"/>
        <v>0</v>
      </c>
      <c r="U13" s="212" t="str">
        <f>INDEX(Q4_Adult,9,17)</f>
        <v>No data</v>
      </c>
      <c r="V13" s="208">
        <f t="shared" si="6"/>
        <v>0</v>
      </c>
      <c r="W13" s="209" t="str">
        <f>INDEX(Q4_Adult,9,18)</f>
        <v>No data</v>
      </c>
      <c r="X13" s="208">
        <f t="shared" si="7"/>
        <v>0</v>
      </c>
      <c r="Y13" s="115" t="str">
        <f>INDEX(Q4_Adult,9,19)</f>
        <v>No data</v>
      </c>
      <c r="Z13" s="69" t="str">
        <f>INDEX(Q4_Adult,9,21)</f>
        <v>No data</v>
      </c>
      <c r="AA13" s="70" t="str">
        <f>INDEX(Q4_Adult,9,22)</f>
        <v>No data</v>
      </c>
    </row>
    <row r="14" spans="1:28" s="8" customFormat="1" ht="21.75" customHeight="1" thickTop="1" thickBot="1" x14ac:dyDescent="0.35">
      <c r="B14" s="25" t="str">
        <f>INDEX(Q4_Adult,10,2)</f>
        <v>Hywel Dda UHB, Glangwilli Hospital</v>
      </c>
      <c r="C14" s="25" t="s">
        <v>20</v>
      </c>
      <c r="D14" s="57">
        <v>3</v>
      </c>
      <c r="E14" s="25" t="s">
        <v>22</v>
      </c>
      <c r="F14" s="65" t="str">
        <f>INDEX(Q4_Adult,10,7)</f>
        <v>No data</v>
      </c>
      <c r="G14" s="71" t="str">
        <f>INDEX(Q4_Adult,10,8)</f>
        <v>No data</v>
      </c>
      <c r="H14" s="213" t="str">
        <f>INDEX(Q4_Adult,10,9)</f>
        <v>No data</v>
      </c>
      <c r="I14" s="203">
        <f t="shared" si="0"/>
        <v>0</v>
      </c>
      <c r="J14" s="204" t="str">
        <f>INDEX(Q4_Adult,10,10)</f>
        <v>No data</v>
      </c>
      <c r="K14" s="203">
        <f t="shared" si="1"/>
        <v>0</v>
      </c>
      <c r="L14" s="204" t="str">
        <f>INDEX(Q4_Adult,10,11)</f>
        <v>No data</v>
      </c>
      <c r="M14" s="203">
        <f t="shared" si="2"/>
        <v>0</v>
      </c>
      <c r="N14" s="204" t="str">
        <f>INDEX(Q4_Adult,10,12)</f>
        <v>No data</v>
      </c>
      <c r="O14" s="203">
        <f t="shared" si="3"/>
        <v>0</v>
      </c>
      <c r="P14" s="205" t="str">
        <f>INDEX(Q4_Adult,10,13)</f>
        <v>No data</v>
      </c>
      <c r="Q14" s="202" t="str">
        <f>INDEX(Q4_Adult,10,15)</f>
        <v>No data</v>
      </c>
      <c r="R14" s="203">
        <f t="shared" si="4"/>
        <v>0</v>
      </c>
      <c r="S14" s="204" t="str">
        <f>INDEX(Q4_Adult,10,16)</f>
        <v>No data</v>
      </c>
      <c r="T14" s="203">
        <f t="shared" si="5"/>
        <v>0</v>
      </c>
      <c r="U14" s="206" t="str">
        <f>INDEX(Q4_Adult,10,17)</f>
        <v>No data</v>
      </c>
      <c r="V14" s="203">
        <f t="shared" si="6"/>
        <v>0</v>
      </c>
      <c r="W14" s="204" t="str">
        <f>INDEX(Q4_Adult,10,18)</f>
        <v>No data</v>
      </c>
      <c r="X14" s="203">
        <f t="shared" si="7"/>
        <v>0</v>
      </c>
      <c r="Y14" s="114" t="str">
        <f>INDEX(Q4_Adult,10,19)</f>
        <v>No data</v>
      </c>
      <c r="Z14" s="67" t="str">
        <f>INDEX(Q4_Adult,10,21)</f>
        <v>No data</v>
      </c>
      <c r="AA14" s="68" t="str">
        <f>INDEX(Q4_Adult,10,22)</f>
        <v>No data</v>
      </c>
    </row>
    <row r="15" spans="1:28" s="8" customFormat="1" ht="21.75" customHeight="1" thickTop="1" thickBot="1" x14ac:dyDescent="0.35">
      <c r="B15" s="26" t="str">
        <f>INDEX(Q4_Adult,11,2)</f>
        <v>Hywel Dda UHB, Withybush Hospital</v>
      </c>
      <c r="C15" s="26" t="s">
        <v>20</v>
      </c>
      <c r="D15" s="58">
        <v>3</v>
      </c>
      <c r="E15" s="26" t="s">
        <v>22</v>
      </c>
      <c r="F15" s="66" t="str">
        <f>INDEX(Q4_Adult,11,7)</f>
        <v>No data</v>
      </c>
      <c r="G15" s="72" t="str">
        <f>INDEX(Q4_Adult,11,8)</f>
        <v>No data</v>
      </c>
      <c r="H15" s="207" t="str">
        <f>INDEX(Q4_Adult,11,9)</f>
        <v>No data</v>
      </c>
      <c r="I15" s="208">
        <f t="shared" si="0"/>
        <v>0</v>
      </c>
      <c r="J15" s="209" t="str">
        <f>INDEX(Q4_Adult,11,10)</f>
        <v>No data</v>
      </c>
      <c r="K15" s="208">
        <f t="shared" si="1"/>
        <v>0</v>
      </c>
      <c r="L15" s="209" t="str">
        <f>INDEX(Q4_Adult,11,11)</f>
        <v>No data</v>
      </c>
      <c r="M15" s="208">
        <f t="shared" si="2"/>
        <v>0</v>
      </c>
      <c r="N15" s="209" t="str">
        <f>INDEX(Q4_Adult,11,12)</f>
        <v>No data</v>
      </c>
      <c r="O15" s="208">
        <f t="shared" si="3"/>
        <v>0</v>
      </c>
      <c r="P15" s="210" t="str">
        <f>INDEX(Q4_Adult,11,13)</f>
        <v>No data</v>
      </c>
      <c r="Q15" s="211" t="str">
        <f>INDEX(Q4_Adult,11,15)</f>
        <v>No data</v>
      </c>
      <c r="R15" s="208">
        <f t="shared" si="4"/>
        <v>0</v>
      </c>
      <c r="S15" s="209" t="str">
        <f>INDEX(Q4_Adult,11,16)</f>
        <v>No data</v>
      </c>
      <c r="T15" s="208">
        <f t="shared" si="5"/>
        <v>0</v>
      </c>
      <c r="U15" s="212" t="str">
        <f>INDEX(Q4_Adult,11,17)</f>
        <v>No data</v>
      </c>
      <c r="V15" s="208">
        <f t="shared" si="6"/>
        <v>0</v>
      </c>
      <c r="W15" s="209" t="str">
        <f>INDEX(Q4_Adult,11,18)</f>
        <v>No data</v>
      </c>
      <c r="X15" s="208">
        <f t="shared" si="7"/>
        <v>0</v>
      </c>
      <c r="Y15" s="115" t="str">
        <f>INDEX(Q4_Adult,11,19)</f>
        <v>No data</v>
      </c>
      <c r="Z15" s="69" t="str">
        <f>INDEX(Q4_Adult,11,21)</f>
        <v>No data</v>
      </c>
      <c r="AA15" s="70" t="str">
        <f>INDEX(Q4_Adult,11,22)</f>
        <v>No data</v>
      </c>
    </row>
    <row r="16" spans="1:28" s="8" customFormat="1" ht="21.75" customHeight="1" thickTop="1" thickBot="1" x14ac:dyDescent="0.35">
      <c r="B16" s="25" t="str">
        <f>INDEX(Q4_Adult,12,2)</f>
        <v>Swansea Bay UHB, Morriston / Singleton Hospitals</v>
      </c>
      <c r="C16" s="25" t="s">
        <v>20</v>
      </c>
      <c r="D16" s="57">
        <v>3</v>
      </c>
      <c r="E16" s="25" t="s">
        <v>22</v>
      </c>
      <c r="F16" s="65" t="str">
        <f>INDEX(Q4_Adult,12,7)</f>
        <v>No data</v>
      </c>
      <c r="G16" s="71" t="str">
        <f>INDEX(Q4_Adult,12,8)</f>
        <v>No data</v>
      </c>
      <c r="H16" s="213" t="str">
        <f>INDEX(Q4_Adult,12,9)</f>
        <v>No data</v>
      </c>
      <c r="I16" s="203">
        <f t="shared" si="0"/>
        <v>0</v>
      </c>
      <c r="J16" s="204" t="str">
        <f>INDEX(Q4_Adult,12,10)</f>
        <v>No data</v>
      </c>
      <c r="K16" s="203">
        <f t="shared" si="1"/>
        <v>0</v>
      </c>
      <c r="L16" s="204" t="str">
        <f>INDEX(Q4_Adult,12,11)</f>
        <v>No data</v>
      </c>
      <c r="M16" s="203">
        <f t="shared" si="2"/>
        <v>0</v>
      </c>
      <c r="N16" s="204" t="str">
        <f>INDEX(Q4_Adult,12,12)</f>
        <v>No data</v>
      </c>
      <c r="O16" s="203">
        <f t="shared" si="3"/>
        <v>0</v>
      </c>
      <c r="P16" s="205" t="str">
        <f>INDEX(Q4_Adult,12,13)</f>
        <v>No data</v>
      </c>
      <c r="Q16" s="202" t="str">
        <f>INDEX(Q4_Adult,12,15)</f>
        <v>No data</v>
      </c>
      <c r="R16" s="203">
        <f t="shared" si="4"/>
        <v>0</v>
      </c>
      <c r="S16" s="204" t="str">
        <f>INDEX(Q4_Adult,12,16)</f>
        <v>No data</v>
      </c>
      <c r="T16" s="203">
        <f t="shared" si="5"/>
        <v>0</v>
      </c>
      <c r="U16" s="206" t="str">
        <f>INDEX(Q4_Adult,12,17)</f>
        <v>No data</v>
      </c>
      <c r="V16" s="203">
        <f t="shared" si="6"/>
        <v>0</v>
      </c>
      <c r="W16" s="204" t="str">
        <f>INDEX(Q4_Adult,12,18)</f>
        <v>No data</v>
      </c>
      <c r="X16" s="203">
        <f t="shared" si="7"/>
        <v>0</v>
      </c>
      <c r="Y16" s="114" t="str">
        <f>INDEX(Q4_Adult,12,19)</f>
        <v>No data</v>
      </c>
      <c r="Z16" s="67" t="str">
        <f>INDEX(Q4_Adult,12,21)</f>
        <v>No data</v>
      </c>
      <c r="AA16" s="68" t="str">
        <f>INDEX(Q4_Adult,12,22)</f>
        <v>No data</v>
      </c>
    </row>
    <row r="17" spans="2:27" s="8" customFormat="1" ht="21.75" customHeight="1" thickTop="1" thickBot="1" x14ac:dyDescent="0.35">
      <c r="B17" s="26" t="str">
        <f>INDEX(Q4_Adult,13,2)</f>
        <v xml:space="preserve">Barnstaple, North Devon District Hospital </v>
      </c>
      <c r="C17" s="26" t="s">
        <v>20</v>
      </c>
      <c r="D17" s="58">
        <v>3</v>
      </c>
      <c r="E17" s="26" t="s">
        <v>21</v>
      </c>
      <c r="F17" s="66" t="str">
        <f>INDEX(Q4_Adult,13,7)</f>
        <v>No data</v>
      </c>
      <c r="G17" s="72" t="str">
        <f>INDEX(Q4_Adult,13,8)</f>
        <v>No data</v>
      </c>
      <c r="H17" s="207" t="str">
        <f>INDEX(Q4_Adult,13,9)</f>
        <v>No data</v>
      </c>
      <c r="I17" s="208">
        <f t="shared" si="0"/>
        <v>0</v>
      </c>
      <c r="J17" s="209" t="str">
        <f>INDEX(Q4_Adult,13,10)</f>
        <v>No data</v>
      </c>
      <c r="K17" s="208">
        <f t="shared" si="1"/>
        <v>0</v>
      </c>
      <c r="L17" s="209" t="str">
        <f>INDEX(Q4_Adult,13,11)</f>
        <v>No data</v>
      </c>
      <c r="M17" s="208">
        <f t="shared" si="2"/>
        <v>0</v>
      </c>
      <c r="N17" s="209" t="str">
        <f>INDEX(Q4_Adult,13,12)</f>
        <v>No data</v>
      </c>
      <c r="O17" s="208">
        <f t="shared" si="3"/>
        <v>0</v>
      </c>
      <c r="P17" s="210" t="str">
        <f>INDEX(Q4_Adult,13,13)</f>
        <v>No data</v>
      </c>
      <c r="Q17" s="211" t="str">
        <f>INDEX(Q4_Adult,13,15)</f>
        <v>No data</v>
      </c>
      <c r="R17" s="208">
        <f t="shared" si="4"/>
        <v>0</v>
      </c>
      <c r="S17" s="209" t="str">
        <f>INDEX(Q4_Adult,13,16)</f>
        <v>No data</v>
      </c>
      <c r="T17" s="208">
        <f t="shared" si="5"/>
        <v>0</v>
      </c>
      <c r="U17" s="212" t="str">
        <f>INDEX(Q4_Adult,13,17)</f>
        <v>No data</v>
      </c>
      <c r="V17" s="208">
        <f t="shared" si="6"/>
        <v>0</v>
      </c>
      <c r="W17" s="209" t="str">
        <f>INDEX(Q4_Adult,13,18)</f>
        <v>No data</v>
      </c>
      <c r="X17" s="208">
        <f t="shared" si="7"/>
        <v>0</v>
      </c>
      <c r="Y17" s="115" t="str">
        <f>INDEX(Q4_Adult,13,19)</f>
        <v>No data</v>
      </c>
      <c r="Z17" s="69" t="str">
        <f>INDEX(Q4_Adult,13,21)</f>
        <v>No data</v>
      </c>
      <c r="AA17" s="70" t="str">
        <f>INDEX(Q4_Adult,13,22)</f>
        <v>No data</v>
      </c>
    </row>
    <row r="18" spans="2:27" s="8" customFormat="1" ht="21.75" customHeight="1" thickTop="1" thickBot="1" x14ac:dyDescent="0.35">
      <c r="B18" s="25" t="str">
        <f>INDEX(Q4_Adult,15,2)</f>
        <v xml:space="preserve">Exeter, Royal Devon and Exeter Hospital </v>
      </c>
      <c r="C18" s="25" t="s">
        <v>20</v>
      </c>
      <c r="D18" s="57">
        <v>3</v>
      </c>
      <c r="E18" s="25" t="s">
        <v>21</v>
      </c>
      <c r="F18" s="65" t="str">
        <f>INDEX(Q4_Adult,15,7)</f>
        <v>No data</v>
      </c>
      <c r="G18" s="71" t="str">
        <f>INDEX(Q4_Adult,15,8)</f>
        <v>No data</v>
      </c>
      <c r="H18" s="213" t="str">
        <f>INDEX(Q4_Adult,15,9)</f>
        <v>No data</v>
      </c>
      <c r="I18" s="203">
        <f t="shared" si="0"/>
        <v>0</v>
      </c>
      <c r="J18" s="204" t="str">
        <f>INDEX(Q4_Adult,15,10)</f>
        <v>No data</v>
      </c>
      <c r="K18" s="203">
        <f t="shared" si="1"/>
        <v>0</v>
      </c>
      <c r="L18" s="204" t="str">
        <f>INDEX(Q4_Adult,15,11)</f>
        <v>No data</v>
      </c>
      <c r="M18" s="203">
        <f t="shared" si="2"/>
        <v>0</v>
      </c>
      <c r="N18" s="204" t="str">
        <f>INDEX(Q4_Adult,15,12)</f>
        <v>No data</v>
      </c>
      <c r="O18" s="203">
        <f t="shared" si="3"/>
        <v>0</v>
      </c>
      <c r="P18" s="205" t="str">
        <f>INDEX(Q4_Adult,15,13)</f>
        <v>No data</v>
      </c>
      <c r="Q18" s="202" t="str">
        <f>INDEX(Q4_Adult,15,15)</f>
        <v>No data</v>
      </c>
      <c r="R18" s="203">
        <f t="shared" si="4"/>
        <v>0</v>
      </c>
      <c r="S18" s="204" t="str">
        <f>INDEX(Q4_Adult,15,16)</f>
        <v>No data</v>
      </c>
      <c r="T18" s="203">
        <f t="shared" si="5"/>
        <v>0</v>
      </c>
      <c r="U18" s="206" t="str">
        <f>INDEX(Q4_Adult,15,17)</f>
        <v>No data</v>
      </c>
      <c r="V18" s="203">
        <f t="shared" si="6"/>
        <v>0</v>
      </c>
      <c r="W18" s="204" t="str">
        <f>INDEX(Q4_Adult,15,18)</f>
        <v>No data</v>
      </c>
      <c r="X18" s="203">
        <f t="shared" si="7"/>
        <v>0</v>
      </c>
      <c r="Y18" s="114" t="str">
        <f>INDEX(Q4_Adult,15,19)</f>
        <v>No data</v>
      </c>
      <c r="Z18" s="67" t="str">
        <f>INDEX(Q4_Adult,15,21)</f>
        <v>No data</v>
      </c>
      <c r="AA18" s="68" t="str">
        <f>INDEX(Q4_Adult,15,22)</f>
        <v>No data</v>
      </c>
    </row>
    <row r="19" spans="2:27" s="8" customFormat="1" ht="21.75" customHeight="1" thickTop="1" thickBot="1" x14ac:dyDescent="0.35">
      <c r="B19" s="26" t="str">
        <f>INDEX(Q4_Adult,16,2)</f>
        <v>Gloucester, Gloucestershire Hospitals</v>
      </c>
      <c r="C19" s="26" t="s">
        <v>20</v>
      </c>
      <c r="D19" s="58">
        <v>3</v>
      </c>
      <c r="E19" s="26" t="s">
        <v>21</v>
      </c>
      <c r="F19" s="66" t="str">
        <f>INDEX(Q4_Adult,16,7)</f>
        <v>No data</v>
      </c>
      <c r="G19" s="72" t="str">
        <f>INDEX(Q4_Adult,16,8)</f>
        <v>No data</v>
      </c>
      <c r="H19" s="207" t="str">
        <f>INDEX(Q4_Adult,16,9)</f>
        <v>No data</v>
      </c>
      <c r="I19" s="208">
        <f t="shared" si="0"/>
        <v>0</v>
      </c>
      <c r="J19" s="209" t="str">
        <f>INDEX(Q4_Adult,16,10)</f>
        <v>No data</v>
      </c>
      <c r="K19" s="208">
        <f t="shared" si="1"/>
        <v>0</v>
      </c>
      <c r="L19" s="209" t="str">
        <f>INDEX(Q4_Adult,16,11)</f>
        <v>No data</v>
      </c>
      <c r="M19" s="208">
        <f t="shared" si="2"/>
        <v>0</v>
      </c>
      <c r="N19" s="209" t="str">
        <f>INDEX(Q4_Adult,16,12)</f>
        <v>No data</v>
      </c>
      <c r="O19" s="208">
        <f t="shared" si="3"/>
        <v>0</v>
      </c>
      <c r="P19" s="210" t="str">
        <f>INDEX(Q4_Adult,16,13)</f>
        <v>No data</v>
      </c>
      <c r="Q19" s="211" t="str">
        <f>INDEX(Q4_Adult,16,15)</f>
        <v>No data</v>
      </c>
      <c r="R19" s="208">
        <f t="shared" si="4"/>
        <v>0</v>
      </c>
      <c r="S19" s="209" t="str">
        <f>INDEX(Q4_Adult,16,16)</f>
        <v>No data</v>
      </c>
      <c r="T19" s="208">
        <f t="shared" si="5"/>
        <v>0</v>
      </c>
      <c r="U19" s="212" t="str">
        <f>INDEX(Q4_Adult,16,17)</f>
        <v>No data</v>
      </c>
      <c r="V19" s="208">
        <f t="shared" si="6"/>
        <v>0</v>
      </c>
      <c r="W19" s="209" t="str">
        <f>INDEX(Q4_Adult,16,18)</f>
        <v>No data</v>
      </c>
      <c r="X19" s="208">
        <f t="shared" si="7"/>
        <v>0</v>
      </c>
      <c r="Y19" s="115" t="str">
        <f>INDEX(Q4_Adult,16,19)</f>
        <v>No data</v>
      </c>
      <c r="Z19" s="69" t="str">
        <f>INDEX(Q4_Adult,16,21)</f>
        <v>No data</v>
      </c>
      <c r="AA19" s="70" t="str">
        <f>INDEX(Q4_Adult,16,22)</f>
        <v>No data</v>
      </c>
    </row>
    <row r="20" spans="2:27" s="8" customFormat="1" ht="21.75" customHeight="1" thickTop="1" thickBot="1" x14ac:dyDescent="0.35">
      <c r="B20" s="25" t="str">
        <f>INDEX(Q4_Adult,17,2)</f>
        <v xml:space="preserve">Plymouth, Derriford Hospital </v>
      </c>
      <c r="C20" s="25" t="s">
        <v>20</v>
      </c>
      <c r="D20" s="57">
        <v>3</v>
      </c>
      <c r="E20" s="25" t="s">
        <v>21</v>
      </c>
      <c r="F20" s="65" t="str">
        <f>INDEX(Q4_Adult,17,7)</f>
        <v>No data</v>
      </c>
      <c r="G20" s="71" t="str">
        <f>INDEX(Q4_Adult,17,8)</f>
        <v>No data</v>
      </c>
      <c r="H20" s="213" t="str">
        <f>INDEX(Q4_Adult,17,9)</f>
        <v>No data</v>
      </c>
      <c r="I20" s="203">
        <f t="shared" si="0"/>
        <v>0</v>
      </c>
      <c r="J20" s="204" t="str">
        <f>INDEX(Q4_Adult,17,10)</f>
        <v>No data</v>
      </c>
      <c r="K20" s="203">
        <f t="shared" si="1"/>
        <v>0</v>
      </c>
      <c r="L20" s="204" t="str">
        <f>INDEX(Q4_Adult,17,11)</f>
        <v>No data</v>
      </c>
      <c r="M20" s="203">
        <f t="shared" si="2"/>
        <v>0</v>
      </c>
      <c r="N20" s="204" t="str">
        <f>INDEX(Q4_Adult,17,12)</f>
        <v>No data</v>
      </c>
      <c r="O20" s="203">
        <f t="shared" si="3"/>
        <v>0</v>
      </c>
      <c r="P20" s="205" t="str">
        <f>INDEX(Q4_Adult,17,13)</f>
        <v>No data</v>
      </c>
      <c r="Q20" s="202" t="str">
        <f>INDEX(Q4_Adult,17,15)</f>
        <v>No data</v>
      </c>
      <c r="R20" s="203">
        <f t="shared" si="4"/>
        <v>0</v>
      </c>
      <c r="S20" s="204" t="str">
        <f>INDEX(Q4_Adult,17,16)</f>
        <v>No data</v>
      </c>
      <c r="T20" s="203">
        <f t="shared" si="5"/>
        <v>0</v>
      </c>
      <c r="U20" s="206" t="str">
        <f>INDEX(Q4_Adult,17,17)</f>
        <v>No data</v>
      </c>
      <c r="V20" s="203">
        <f t="shared" si="6"/>
        <v>0</v>
      </c>
      <c r="W20" s="204" t="str">
        <f>INDEX(Q4_Adult,17,18)</f>
        <v>No data</v>
      </c>
      <c r="X20" s="203">
        <f t="shared" si="7"/>
        <v>0</v>
      </c>
      <c r="Y20" s="114" t="str">
        <f>INDEX(Q4_Adult,17,19)</f>
        <v>No data</v>
      </c>
      <c r="Z20" s="67" t="str">
        <f>INDEX(Q4_Adult,17,21)</f>
        <v>No data</v>
      </c>
      <c r="AA20" s="68" t="str">
        <f>INDEX(Q4_Adult,17,22)</f>
        <v>No data</v>
      </c>
    </row>
    <row r="21" spans="2:27" s="8" customFormat="1" ht="21.75" customHeight="1" thickTop="1" thickBot="1" x14ac:dyDescent="0.35">
      <c r="B21" s="26" t="str">
        <f>INDEX(Q4_Adult,18,2)</f>
        <v xml:space="preserve">Swindon, Great Weston Hospital </v>
      </c>
      <c r="C21" s="26" t="s">
        <v>20</v>
      </c>
      <c r="D21" s="58">
        <v>3</v>
      </c>
      <c r="E21" s="26" t="s">
        <v>21</v>
      </c>
      <c r="F21" s="66" t="str">
        <f>INDEX(Q4_Adult,18,7)</f>
        <v>No data</v>
      </c>
      <c r="G21" s="72" t="str">
        <f>INDEX(Q4_Adult,18,8)</f>
        <v>No data</v>
      </c>
      <c r="H21" s="207" t="str">
        <f>INDEX(Q4_Adult,18,9)</f>
        <v>No data</v>
      </c>
      <c r="I21" s="208">
        <f t="shared" si="0"/>
        <v>0</v>
      </c>
      <c r="J21" s="209" t="str">
        <f>INDEX(Q4_Adult,18,10)</f>
        <v>No data</v>
      </c>
      <c r="K21" s="208">
        <f t="shared" si="1"/>
        <v>0</v>
      </c>
      <c r="L21" s="209" t="str">
        <f>INDEX(Q4_Adult,18,11)</f>
        <v>No data</v>
      </c>
      <c r="M21" s="208">
        <f t="shared" si="2"/>
        <v>0</v>
      </c>
      <c r="N21" s="209" t="str">
        <f>INDEX(Q4_Adult,18,12)</f>
        <v>No data</v>
      </c>
      <c r="O21" s="208">
        <f t="shared" si="3"/>
        <v>0</v>
      </c>
      <c r="P21" s="210" t="str">
        <f>INDEX(Q4_Adult,18,13)</f>
        <v>No data</v>
      </c>
      <c r="Q21" s="211" t="str">
        <f>INDEX(Q4_Adult,18,15)</f>
        <v>No data</v>
      </c>
      <c r="R21" s="208">
        <f t="shared" si="4"/>
        <v>0</v>
      </c>
      <c r="S21" s="209" t="str">
        <f>INDEX(Q4_Adult,18,16)</f>
        <v>No data</v>
      </c>
      <c r="T21" s="208">
        <f t="shared" si="5"/>
        <v>0</v>
      </c>
      <c r="U21" s="212" t="str">
        <f>INDEX(Q4_Adult,18,17)</f>
        <v>No data</v>
      </c>
      <c r="V21" s="208">
        <f t="shared" si="6"/>
        <v>0</v>
      </c>
      <c r="W21" s="209" t="str">
        <f>INDEX(Q4_Adult,18,18)</f>
        <v>No data</v>
      </c>
      <c r="X21" s="208">
        <f t="shared" si="7"/>
        <v>0</v>
      </c>
      <c r="Y21" s="115" t="str">
        <f>INDEX(Q4_Adult,18,19)</f>
        <v>No data</v>
      </c>
      <c r="Z21" s="69" t="str">
        <f>INDEX(Q4_Adult,18,21)</f>
        <v>No data</v>
      </c>
      <c r="AA21" s="70" t="str">
        <f>INDEX(Q4_Adult,18,22)</f>
        <v>No data</v>
      </c>
    </row>
    <row r="22" spans="2:27" s="8" customFormat="1" ht="21.75" customHeight="1" thickTop="1" thickBot="1" x14ac:dyDescent="0.35">
      <c r="B22" s="25" t="str">
        <f>INDEX(Q4_Adult,19,2)</f>
        <v xml:space="preserve">Taunton, Musgrove Park Hospital </v>
      </c>
      <c r="C22" s="25" t="s">
        <v>20</v>
      </c>
      <c r="D22" s="57">
        <v>3</v>
      </c>
      <c r="E22" s="25" t="s">
        <v>21</v>
      </c>
      <c r="F22" s="65" t="str">
        <f>INDEX(Q4_Adult,19,7)</f>
        <v>No data</v>
      </c>
      <c r="G22" s="71" t="str">
        <f>INDEX(Q4_Adult,19,8)</f>
        <v>No data</v>
      </c>
      <c r="H22" s="213" t="str">
        <f>INDEX(Q4_Adult,19,9)</f>
        <v>No data</v>
      </c>
      <c r="I22" s="203">
        <f t="shared" si="0"/>
        <v>0</v>
      </c>
      <c r="J22" s="204" t="str">
        <f>INDEX(Q4_Adult,19,10)</f>
        <v>No data</v>
      </c>
      <c r="K22" s="203">
        <f t="shared" si="1"/>
        <v>0</v>
      </c>
      <c r="L22" s="204" t="str">
        <f>INDEX(Q4_Adult,19,11)</f>
        <v>No data</v>
      </c>
      <c r="M22" s="203">
        <f t="shared" si="2"/>
        <v>0</v>
      </c>
      <c r="N22" s="204" t="str">
        <f>INDEX(Q4_Adult,19,12)</f>
        <v>No data</v>
      </c>
      <c r="O22" s="203">
        <f t="shared" si="3"/>
        <v>0</v>
      </c>
      <c r="P22" s="205" t="str">
        <f>INDEX(Q4_Adult,19,13)</f>
        <v>No data</v>
      </c>
      <c r="Q22" s="202" t="str">
        <f>INDEX(Q4_Adult,19,15)</f>
        <v>No data</v>
      </c>
      <c r="R22" s="203">
        <f t="shared" si="4"/>
        <v>0</v>
      </c>
      <c r="S22" s="204" t="str">
        <f>INDEX(Q4_Adult,19,16)</f>
        <v>No data</v>
      </c>
      <c r="T22" s="203">
        <f t="shared" si="5"/>
        <v>0</v>
      </c>
      <c r="U22" s="206" t="str">
        <f>INDEX(Q4_Adult,19,17)</f>
        <v>No data</v>
      </c>
      <c r="V22" s="203">
        <f t="shared" si="6"/>
        <v>0</v>
      </c>
      <c r="W22" s="204" t="str">
        <f>INDEX(Q4_Adult,19,18)</f>
        <v>No data</v>
      </c>
      <c r="X22" s="203">
        <f t="shared" si="7"/>
        <v>0</v>
      </c>
      <c r="Y22" s="114" t="str">
        <f>INDEX(Q4_Adult,19,19)</f>
        <v>No data</v>
      </c>
      <c r="Z22" s="67" t="str">
        <f>INDEX(Q4_Adult,19,21)</f>
        <v>No data</v>
      </c>
      <c r="AA22" s="68" t="str">
        <f>INDEX(Q4_Adult,19,22)</f>
        <v>No data</v>
      </c>
    </row>
    <row r="23" spans="2:27" s="8" customFormat="1" ht="21.75" customHeight="1" thickTop="1" thickBot="1" x14ac:dyDescent="0.35">
      <c r="B23" s="26" t="str">
        <f>INDEX(Q4_Adult,20,2)</f>
        <v xml:space="preserve">Torquay, Torbay General District Hospital </v>
      </c>
      <c r="C23" s="26" t="s">
        <v>20</v>
      </c>
      <c r="D23" s="58">
        <v>3</v>
      </c>
      <c r="E23" s="26" t="s">
        <v>21</v>
      </c>
      <c r="F23" s="66" t="str">
        <f>INDEX(Q4_Adult,20,7)</f>
        <v>No data</v>
      </c>
      <c r="G23" s="72" t="str">
        <f>INDEX(Q4_Adult,20,8)</f>
        <v>No data</v>
      </c>
      <c r="H23" s="207" t="str">
        <f>INDEX(Q4_Adult,20,9)</f>
        <v>No data</v>
      </c>
      <c r="I23" s="208">
        <f t="shared" si="0"/>
        <v>0</v>
      </c>
      <c r="J23" s="209" t="str">
        <f>INDEX(Q4_Adult,20,10)</f>
        <v>No data</v>
      </c>
      <c r="K23" s="208">
        <f t="shared" si="1"/>
        <v>0</v>
      </c>
      <c r="L23" s="209" t="str">
        <f>INDEX(Q4_Adult,20,11)</f>
        <v>No data</v>
      </c>
      <c r="M23" s="208">
        <f t="shared" si="2"/>
        <v>0</v>
      </c>
      <c r="N23" s="209" t="str">
        <f>INDEX(Q4_Adult,20,12)</f>
        <v>No data</v>
      </c>
      <c r="O23" s="208">
        <f t="shared" si="3"/>
        <v>0</v>
      </c>
      <c r="P23" s="210" t="str">
        <f>INDEX(Q4_Adult,20,13)</f>
        <v>No data</v>
      </c>
      <c r="Q23" s="211" t="str">
        <f>INDEX(Q4_Adult,20,15)</f>
        <v>No data</v>
      </c>
      <c r="R23" s="208">
        <f t="shared" si="4"/>
        <v>0</v>
      </c>
      <c r="S23" s="209" t="str">
        <f>INDEX(Q4_Adult,20,16)</f>
        <v>No data</v>
      </c>
      <c r="T23" s="208">
        <f t="shared" si="5"/>
        <v>0</v>
      </c>
      <c r="U23" s="212" t="str">
        <f>INDEX(Q4_Adult,20,17)</f>
        <v>No data</v>
      </c>
      <c r="V23" s="208">
        <f t="shared" si="6"/>
        <v>0</v>
      </c>
      <c r="W23" s="209" t="str">
        <f>INDEX(Q4_Adult,20,18)</f>
        <v>No data</v>
      </c>
      <c r="X23" s="208">
        <f t="shared" si="7"/>
        <v>0</v>
      </c>
      <c r="Y23" s="115" t="str">
        <f>INDEX(Q4_Adult,20,19)</f>
        <v>No data</v>
      </c>
      <c r="Z23" s="69" t="str">
        <f>INDEX(Q4_Adult,20,21)</f>
        <v>No data</v>
      </c>
      <c r="AA23" s="70" t="str">
        <f>INDEX(Q4_Adult,20,22)</f>
        <v>No data</v>
      </c>
    </row>
    <row r="24" spans="2:27" s="8" customFormat="1" ht="21.75" customHeight="1" thickTop="1" thickBot="1" x14ac:dyDescent="0.35">
      <c r="B24" s="25" t="str">
        <f>INDEX(Q4_Adult,21,2)</f>
        <v xml:space="preserve">Truro, Royal Cornwall Hospital </v>
      </c>
      <c r="C24" s="25" t="s">
        <v>20</v>
      </c>
      <c r="D24" s="57">
        <v>3</v>
      </c>
      <c r="E24" s="25" t="s">
        <v>21</v>
      </c>
      <c r="F24" s="65" t="str">
        <f>INDEX(Q4_Adult,21,7)</f>
        <v>No data</v>
      </c>
      <c r="G24" s="71" t="str">
        <f>INDEX(Q4_Adult,21,8)</f>
        <v>No data</v>
      </c>
      <c r="H24" s="213" t="str">
        <f>INDEX(Q4_Adult,21,9)</f>
        <v>No data</v>
      </c>
      <c r="I24" s="203">
        <f t="shared" si="0"/>
        <v>0</v>
      </c>
      <c r="J24" s="204" t="str">
        <f>INDEX(Q4_Adult,21,10)</f>
        <v>No data</v>
      </c>
      <c r="K24" s="203">
        <f t="shared" si="1"/>
        <v>0</v>
      </c>
      <c r="L24" s="204" t="str">
        <f>INDEX(Q4_Adult,21,11)</f>
        <v>No data</v>
      </c>
      <c r="M24" s="203">
        <f t="shared" si="2"/>
        <v>0</v>
      </c>
      <c r="N24" s="204" t="str">
        <f>INDEX(Q4_Adult,21,12)</f>
        <v>No data</v>
      </c>
      <c r="O24" s="203">
        <f t="shared" si="3"/>
        <v>0</v>
      </c>
      <c r="P24" s="205" t="str">
        <f>INDEX(Q4_Adult,21,13)</f>
        <v>No data</v>
      </c>
      <c r="Q24" s="202" t="str">
        <f>INDEX(Q4_Adult,21,15)</f>
        <v>No data</v>
      </c>
      <c r="R24" s="203">
        <f t="shared" si="4"/>
        <v>0</v>
      </c>
      <c r="S24" s="204" t="str">
        <f>INDEX(Q4_Adult,21,16)</f>
        <v>No data</v>
      </c>
      <c r="T24" s="203">
        <f t="shared" si="5"/>
        <v>0</v>
      </c>
      <c r="U24" s="206" t="str">
        <f>INDEX(Q4_Adult,21,17)</f>
        <v>No data</v>
      </c>
      <c r="V24" s="203">
        <f t="shared" si="6"/>
        <v>0</v>
      </c>
      <c r="W24" s="204" t="str">
        <f>INDEX(Q4_Adult,21,18)</f>
        <v>No data</v>
      </c>
      <c r="X24" s="203">
        <f t="shared" si="7"/>
        <v>0</v>
      </c>
      <c r="Y24" s="114" t="str">
        <f>INDEX(Q4_Adult,21,19)</f>
        <v>No data</v>
      </c>
      <c r="Z24" s="67" t="str">
        <f>INDEX(Q4_Adult,21,21)</f>
        <v>No data</v>
      </c>
      <c r="AA24" s="68" t="str">
        <f>INDEX(Q4_Adult,21,22)</f>
        <v>No data</v>
      </c>
    </row>
    <row r="25" spans="2:27" ht="15" thickTop="1" x14ac:dyDescent="0.3">
      <c r="B25" s="16"/>
      <c r="C25" s="16"/>
      <c r="D25" s="16"/>
      <c r="E25" s="16"/>
      <c r="F25" s="15"/>
      <c r="G25" s="15"/>
      <c r="H25" s="120"/>
      <c r="I25" s="15"/>
      <c r="J25" s="120"/>
      <c r="K25" s="15"/>
      <c r="L25" s="120"/>
      <c r="M25" s="15"/>
      <c r="N25" s="120"/>
      <c r="O25" s="15"/>
      <c r="P25" s="15"/>
      <c r="Q25" s="120"/>
      <c r="R25" s="15"/>
      <c r="S25" s="120"/>
      <c r="T25" s="15"/>
      <c r="U25" s="120"/>
      <c r="V25" s="15"/>
      <c r="W25" s="120"/>
      <c r="X25" s="15"/>
      <c r="Y25" s="15"/>
      <c r="Z25" s="15"/>
      <c r="AA25" s="15"/>
    </row>
    <row r="26" spans="2:27" ht="15" thickBot="1" x14ac:dyDescent="0.35">
      <c r="B26" s="16"/>
      <c r="C26" s="16"/>
      <c r="D26" s="16"/>
      <c r="E26" s="16"/>
      <c r="F26" s="15"/>
      <c r="G26" s="15"/>
      <c r="H26" s="120"/>
      <c r="I26" s="15"/>
      <c r="J26" s="120"/>
      <c r="K26" s="15"/>
      <c r="L26" s="120"/>
      <c r="M26" s="15"/>
      <c r="N26" s="120"/>
      <c r="O26" s="15"/>
      <c r="P26" s="15"/>
      <c r="Q26" s="120"/>
      <c r="R26" s="15"/>
      <c r="S26" s="120"/>
      <c r="T26" s="15"/>
      <c r="U26" s="120"/>
      <c r="V26" s="15"/>
      <c r="W26" s="120"/>
      <c r="X26" s="15"/>
      <c r="Y26" s="15"/>
      <c r="Z26" s="15"/>
      <c r="AA26" s="15"/>
    </row>
    <row r="27" spans="2:27" ht="14.4" x14ac:dyDescent="0.3">
      <c r="B27" s="319" t="s">
        <v>86</v>
      </c>
      <c r="C27" s="320" t="s">
        <v>87</v>
      </c>
      <c r="D27" s="321"/>
      <c r="E27" s="322"/>
      <c r="F27" s="329" t="s">
        <v>78</v>
      </c>
      <c r="G27" s="300"/>
      <c r="H27" s="330"/>
      <c r="I27" s="331"/>
      <c r="J27" s="334" t="s">
        <v>84</v>
      </c>
      <c r="K27" s="335"/>
      <c r="L27" s="309" t="s">
        <v>84</v>
      </c>
      <c r="M27" s="310"/>
      <c r="N27" s="313" t="s">
        <v>84</v>
      </c>
      <c r="O27" s="314"/>
      <c r="P27" s="236"/>
      <c r="Q27" s="330"/>
      <c r="R27" s="331"/>
      <c r="S27" s="334" t="s">
        <v>84</v>
      </c>
      <c r="T27" s="335"/>
      <c r="U27" s="309" t="s">
        <v>84</v>
      </c>
      <c r="V27" s="310"/>
      <c r="W27" s="313" t="s">
        <v>84</v>
      </c>
      <c r="X27" s="314"/>
      <c r="Y27" s="129"/>
      <c r="Z27" s="299" t="s">
        <v>81</v>
      </c>
      <c r="AA27" s="300"/>
    </row>
    <row r="28" spans="2:27" ht="14.4" x14ac:dyDescent="0.3">
      <c r="B28" s="319"/>
      <c r="C28" s="323"/>
      <c r="D28" s="324"/>
      <c r="E28" s="325"/>
      <c r="F28" s="301" t="s">
        <v>79</v>
      </c>
      <c r="G28" s="302"/>
      <c r="H28" s="332"/>
      <c r="I28" s="333"/>
      <c r="J28" s="336"/>
      <c r="K28" s="337"/>
      <c r="L28" s="311"/>
      <c r="M28" s="312"/>
      <c r="N28" s="315"/>
      <c r="O28" s="316"/>
      <c r="P28" s="237"/>
      <c r="Q28" s="332"/>
      <c r="R28" s="333"/>
      <c r="S28" s="336"/>
      <c r="T28" s="337"/>
      <c r="U28" s="311"/>
      <c r="V28" s="312"/>
      <c r="W28" s="315"/>
      <c r="X28" s="316"/>
      <c r="Y28" s="130"/>
      <c r="Z28" s="303" t="s">
        <v>82</v>
      </c>
      <c r="AA28" s="302"/>
    </row>
    <row r="29" spans="2:27" ht="15" thickBot="1" x14ac:dyDescent="0.35">
      <c r="B29" s="319"/>
      <c r="C29" s="326"/>
      <c r="D29" s="327"/>
      <c r="E29" s="328"/>
      <c r="F29" s="342" t="s">
        <v>80</v>
      </c>
      <c r="G29" s="308"/>
      <c r="H29" s="304"/>
      <c r="I29" s="305"/>
      <c r="J29" s="306" t="s">
        <v>85</v>
      </c>
      <c r="K29" s="305"/>
      <c r="L29" s="306" t="s">
        <v>85</v>
      </c>
      <c r="M29" s="305"/>
      <c r="N29" s="306" t="s">
        <v>85</v>
      </c>
      <c r="O29" s="305"/>
      <c r="P29" s="234"/>
      <c r="Q29" s="304"/>
      <c r="R29" s="305"/>
      <c r="S29" s="306" t="s">
        <v>85</v>
      </c>
      <c r="T29" s="305"/>
      <c r="U29" s="306" t="s">
        <v>85</v>
      </c>
      <c r="V29" s="305"/>
      <c r="W29" s="306" t="s">
        <v>85</v>
      </c>
      <c r="X29" s="305"/>
      <c r="Y29" s="116"/>
      <c r="Z29" s="307" t="s">
        <v>83</v>
      </c>
      <c r="AA29" s="308"/>
    </row>
    <row r="30" spans="2:27" ht="14.4" x14ac:dyDescent="0.3">
      <c r="B30" s="17"/>
      <c r="C30" s="17"/>
      <c r="D30" s="17"/>
      <c r="E30" s="17"/>
      <c r="F30" s="18"/>
      <c r="G30" s="18"/>
      <c r="H30" s="121"/>
      <c r="I30" s="18"/>
      <c r="J30" s="121"/>
      <c r="K30" s="18"/>
      <c r="L30" s="121"/>
      <c r="M30" s="18"/>
      <c r="N30" s="121"/>
      <c r="O30" s="18"/>
      <c r="P30" s="18"/>
      <c r="Q30" s="121"/>
      <c r="R30" s="18"/>
      <c r="S30" s="121"/>
      <c r="T30" s="18"/>
      <c r="U30" s="121"/>
      <c r="V30" s="18"/>
      <c r="W30" s="121"/>
      <c r="X30" s="18"/>
      <c r="Y30" s="18"/>
      <c r="Z30" s="18"/>
      <c r="AA30" s="19"/>
    </row>
    <row r="31" spans="2:27" ht="14.4" x14ac:dyDescent="0.3">
      <c r="B31" s="15"/>
      <c r="C31" s="15"/>
      <c r="D31" s="15"/>
      <c r="E31" s="15"/>
      <c r="F31" s="20">
        <v>10</v>
      </c>
      <c r="G31" s="20">
        <v>10</v>
      </c>
      <c r="H31" s="122">
        <v>10</v>
      </c>
      <c r="I31" s="20"/>
      <c r="J31" s="122">
        <v>10</v>
      </c>
      <c r="K31" s="20">
        <v>10</v>
      </c>
      <c r="L31" s="122">
        <v>10</v>
      </c>
      <c r="M31" s="20"/>
      <c r="N31" s="122"/>
      <c r="O31" s="20"/>
      <c r="P31" s="20"/>
      <c r="Q31" s="122"/>
      <c r="R31" s="20"/>
      <c r="S31" s="122"/>
      <c r="T31" s="20"/>
      <c r="U31" s="122"/>
      <c r="V31" s="20"/>
      <c r="W31" s="122"/>
      <c r="X31" s="20"/>
      <c r="Y31" s="20"/>
      <c r="Z31" s="20"/>
      <c r="AA31" s="15"/>
    </row>
    <row r="32" spans="2:27" ht="14.4" x14ac:dyDescent="0.3">
      <c r="B32" s="16" t="s">
        <v>15</v>
      </c>
      <c r="C32" s="16"/>
      <c r="D32" s="16"/>
      <c r="E32" s="16"/>
      <c r="F32" s="21"/>
      <c r="G32" s="15"/>
      <c r="H32" s="120"/>
      <c r="I32" s="15"/>
      <c r="J32" s="120"/>
      <c r="K32" s="15"/>
      <c r="L32" s="120"/>
      <c r="M32" s="15"/>
      <c r="N32" s="120"/>
      <c r="O32" s="15"/>
      <c r="P32" s="15"/>
      <c r="Q32" s="120"/>
      <c r="R32" s="15"/>
      <c r="S32" s="120"/>
      <c r="T32" s="15"/>
      <c r="U32" s="120"/>
      <c r="V32" s="15"/>
      <c r="W32" s="120"/>
      <c r="X32" s="15"/>
      <c r="Y32" s="15"/>
      <c r="Z32" s="15"/>
      <c r="AA32" s="15"/>
    </row>
    <row r="33" spans="2:27" ht="14.4" x14ac:dyDescent="0.3">
      <c r="B33" s="22" t="s">
        <v>16</v>
      </c>
      <c r="C33" s="22"/>
      <c r="D33" s="22"/>
      <c r="E33" s="22"/>
      <c r="F33" s="15"/>
      <c r="G33" s="15"/>
      <c r="H33" s="120"/>
      <c r="I33" s="15"/>
      <c r="J33" s="120"/>
      <c r="K33" s="15"/>
      <c r="L33" s="120"/>
      <c r="M33" s="15"/>
      <c r="N33" s="120"/>
      <c r="O33" s="15"/>
      <c r="P33" s="15"/>
      <c r="Q33" s="120"/>
      <c r="R33" s="15"/>
      <c r="S33" s="120"/>
      <c r="T33" s="15"/>
      <c r="U33" s="120"/>
      <c r="V33" s="15"/>
      <c r="W33" s="120"/>
      <c r="X33" s="15"/>
      <c r="Y33" s="15"/>
      <c r="Z33" s="15"/>
      <c r="AA33" s="15"/>
    </row>
    <row r="34" spans="2:27" ht="14.4" x14ac:dyDescent="0.3">
      <c r="B34" s="23"/>
      <c r="C34" s="23"/>
      <c r="D34" s="23"/>
      <c r="E34" s="23"/>
      <c r="F34" s="15"/>
      <c r="G34" s="15"/>
      <c r="H34" s="120"/>
      <c r="I34" s="15"/>
      <c r="J34" s="120"/>
      <c r="K34" s="15"/>
      <c r="L34" s="120"/>
      <c r="M34" s="15"/>
      <c r="N34" s="120"/>
      <c r="O34" s="15"/>
      <c r="P34" s="15"/>
      <c r="Q34" s="120"/>
      <c r="R34" s="15"/>
      <c r="S34" s="120"/>
      <c r="T34" s="15"/>
      <c r="U34" s="120"/>
      <c r="V34" s="15"/>
      <c r="W34" s="120"/>
      <c r="X34" s="15"/>
      <c r="Y34" s="15"/>
      <c r="Z34" s="15"/>
      <c r="AA34" s="15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</mergeCells>
  <conditionalFormatting sqref="F8:G9">
    <cfRule type="containsText" dxfId="51" priority="28" operator="containsText" text="N/A">
      <formula>NOT(ISERROR(SEARCH("N/A",F8)))</formula>
    </cfRule>
    <cfRule type="cellIs" dxfId="50" priority="35" operator="between">
      <formula>0.01</formula>
      <formula>13</formula>
    </cfRule>
    <cfRule type="cellIs" dxfId="49" priority="36" operator="between">
      <formula>13</formula>
      <formula>18</formula>
    </cfRule>
    <cfRule type="cellIs" dxfId="48" priority="37" operator="greaterThan">
      <formula>18</formula>
    </cfRule>
    <cfRule type="cellIs" dxfId="47" priority="38" operator="greaterThan">
      <formula>18</formula>
    </cfRule>
  </conditionalFormatting>
  <conditionalFormatting sqref="T8:T9 K8:K9">
    <cfRule type="cellIs" dxfId="46" priority="34" operator="greaterThan">
      <formula>0.5</formula>
    </cfRule>
  </conditionalFormatting>
  <conditionalFormatting sqref="M8:M9 V8:V9">
    <cfRule type="cellIs" dxfId="45" priority="33" operator="greaterThan">
      <formula>0.49</formula>
    </cfRule>
  </conditionalFormatting>
  <conditionalFormatting sqref="X8:X9 O8:O9">
    <cfRule type="cellIs" dxfId="44" priority="32" operator="greaterThan">
      <formula>0.5</formula>
    </cfRule>
  </conditionalFormatting>
  <conditionalFormatting sqref="Z8:AA9">
    <cfRule type="cellIs" dxfId="43" priority="29" operator="between">
      <formula>0.0001</formula>
      <formula>0.1</formula>
    </cfRule>
    <cfRule type="cellIs" dxfId="42" priority="30" operator="between">
      <formula>0.1</formula>
      <formula>0.19</formula>
    </cfRule>
    <cfRule type="cellIs" dxfId="41" priority="31" operator="greaterThan">
      <formula>0.2</formula>
    </cfRule>
  </conditionalFormatting>
  <conditionalFormatting sqref="J8:J24">
    <cfRule type="expression" dxfId="40" priority="27">
      <formula>($J8/$P8*100)&gt;49.49</formula>
    </cfRule>
  </conditionalFormatting>
  <conditionalFormatting sqref="L8:L24">
    <cfRule type="expression" dxfId="39" priority="26">
      <formula>($L8/$P8*100)&gt;49.49</formula>
    </cfRule>
  </conditionalFormatting>
  <conditionalFormatting sqref="N8:N24">
    <cfRule type="expression" dxfId="38" priority="25">
      <formula>($N8/$P8*100)&gt;49.49</formula>
    </cfRule>
  </conditionalFormatting>
  <conditionalFormatting sqref="S8:S24">
    <cfRule type="expression" dxfId="37" priority="24">
      <formula>($S8/$Y8*100)&gt;49.49</formula>
    </cfRule>
  </conditionalFormatting>
  <conditionalFormatting sqref="U8:U24">
    <cfRule type="expression" dxfId="36" priority="23">
      <formula>($U8/$Y8*100)&gt;49.49</formula>
    </cfRule>
  </conditionalFormatting>
  <conditionalFormatting sqref="W8:W24">
    <cfRule type="expression" dxfId="35" priority="22">
      <formula>($W8/$Y8*100)&gt;49.49</formula>
    </cfRule>
  </conditionalFormatting>
  <conditionalFormatting sqref="L9">
    <cfRule type="expression" dxfId="34" priority="21">
      <formula>"$M$9=&gt;.499"</formula>
    </cfRule>
  </conditionalFormatting>
  <conditionalFormatting sqref="F8:AA24">
    <cfRule type="expression" dxfId="33" priority="20">
      <formula>$F8="No data"</formula>
    </cfRule>
  </conditionalFormatting>
  <conditionalFormatting sqref="F10:G24">
    <cfRule type="containsText" dxfId="32" priority="9" operator="containsText" text="N/A">
      <formula>NOT(ISERROR(SEARCH("N/A",F10)))</formula>
    </cfRule>
    <cfRule type="cellIs" dxfId="31" priority="16" operator="between">
      <formula>0.01</formula>
      <formula>13</formula>
    </cfRule>
    <cfRule type="cellIs" dxfId="30" priority="17" operator="between">
      <formula>13</formula>
      <formula>18</formula>
    </cfRule>
    <cfRule type="cellIs" dxfId="29" priority="18" operator="greaterThan">
      <formula>18</formula>
    </cfRule>
    <cfRule type="cellIs" dxfId="28" priority="19" operator="greaterThan">
      <formula>18</formula>
    </cfRule>
  </conditionalFormatting>
  <conditionalFormatting sqref="T10:T24 K10:K24">
    <cfRule type="cellIs" dxfId="27" priority="15" operator="greaterThan">
      <formula>0.5</formula>
    </cfRule>
  </conditionalFormatting>
  <conditionalFormatting sqref="M10:M24 V10:V24">
    <cfRule type="cellIs" dxfId="26" priority="14" operator="greaterThan">
      <formula>0.49</formula>
    </cfRule>
  </conditionalFormatting>
  <conditionalFormatting sqref="X10:X24 O10:O24">
    <cfRule type="cellIs" dxfId="25" priority="13" operator="greaterThan">
      <formula>0.5</formula>
    </cfRule>
  </conditionalFormatting>
  <conditionalFormatting sqref="Z10:AA24">
    <cfRule type="cellIs" dxfId="24" priority="10" operator="between">
      <formula>0.0001</formula>
      <formula>0.1</formula>
    </cfRule>
    <cfRule type="cellIs" dxfId="23" priority="11" operator="between">
      <formula>0.1</formula>
      <formula>0.19</formula>
    </cfRule>
    <cfRule type="cellIs" dxfId="22" priority="12" operator="greaterThan">
      <formula>0.2</formula>
    </cfRule>
  </conditionalFormatting>
  <conditionalFormatting sqref="L11 L13 L15 L17 L19 L21 L23">
    <cfRule type="expression" dxfId="21" priority="2">
      <formula>"$M$9=&gt;.499"</formula>
    </cfRule>
  </conditionalFormatting>
  <hyperlinks>
    <hyperlink ref="C27:E29" location="Sheet1!A1" display="For more information on rag ratings please click here" xr:uid="{00000000-0004-0000-0B00-000000000000}"/>
    <hyperlink ref="B3" location="'Front Page'!A1" display="Return to Contents" xr:uid="{00000000-0004-0000-0B00-000001000000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62"/>
  <sheetViews>
    <sheetView showGridLines="0" zoomScaleNormal="100" workbookViewId="0">
      <selection activeCell="B4" sqref="B4"/>
    </sheetView>
  </sheetViews>
  <sheetFormatPr defaultColWidth="0" defaultRowHeight="0" customHeight="1" zeroHeight="1" x14ac:dyDescent="0.3"/>
  <cols>
    <col min="1" max="1" width="4" style="33" customWidth="1"/>
    <col min="2" max="2" width="59.6640625" style="33" customWidth="1"/>
    <col min="3" max="3" width="11.6640625" style="33" customWidth="1"/>
    <col min="4" max="4" width="7.6640625" style="33" customWidth="1"/>
    <col min="5" max="5" width="10" style="33" customWidth="1"/>
    <col min="6" max="7" width="12" style="33" customWidth="1"/>
    <col min="8" max="8" width="5.109375" style="123" customWidth="1"/>
    <col min="9" max="9" width="6.88671875" style="33" customWidth="1"/>
    <col min="10" max="10" width="5.109375" style="123" customWidth="1"/>
    <col min="11" max="11" width="6.88671875" style="33" customWidth="1"/>
    <col min="12" max="12" width="5.109375" style="123" customWidth="1"/>
    <col min="13" max="13" width="6.88671875" style="33" customWidth="1"/>
    <col min="14" max="14" width="5.109375" style="123" customWidth="1"/>
    <col min="15" max="15" width="6.88671875" style="33" customWidth="1"/>
    <col min="16" max="16" width="11.5546875" style="33" customWidth="1"/>
    <col min="17" max="17" width="5.109375" style="123" customWidth="1"/>
    <col min="18" max="18" width="6.88671875" style="33" customWidth="1"/>
    <col min="19" max="19" width="5.109375" style="123" customWidth="1"/>
    <col min="20" max="20" width="6.88671875" style="33" customWidth="1"/>
    <col min="21" max="21" width="5.109375" style="123" customWidth="1"/>
    <col min="22" max="22" width="6.88671875" style="33" customWidth="1"/>
    <col min="23" max="23" width="5.109375" style="123" customWidth="1"/>
    <col min="24" max="24" width="6.88671875" style="33" customWidth="1"/>
    <col min="25" max="25" width="11.5546875" style="33" customWidth="1"/>
    <col min="26" max="27" width="10.6640625" style="33" customWidth="1"/>
    <col min="28" max="28" width="9.109375" style="33" customWidth="1"/>
    <col min="29" max="30" width="0" style="33" hidden="1" customWidth="1"/>
    <col min="31" max="16384" width="9.109375" style="33" hidden="1"/>
  </cols>
  <sheetData>
    <row r="1" spans="1:28" ht="35.25" customHeight="1" x14ac:dyDescent="0.3">
      <c r="A1" s="10"/>
      <c r="B1" s="97" t="s">
        <v>101</v>
      </c>
      <c r="C1" s="84"/>
      <c r="D1" s="84"/>
      <c r="E1" s="84"/>
      <c r="F1" s="84"/>
      <c r="G1" s="84"/>
      <c r="H1" s="117"/>
      <c r="I1" s="84"/>
      <c r="J1" s="117"/>
      <c r="K1" s="84"/>
      <c r="L1" s="117"/>
      <c r="M1" s="84"/>
      <c r="N1" s="117"/>
      <c r="O1" s="84"/>
      <c r="P1" s="84"/>
      <c r="Q1" s="117"/>
      <c r="R1" s="84"/>
      <c r="S1" s="117"/>
      <c r="T1" s="84"/>
      <c r="U1" s="117"/>
      <c r="V1" s="84"/>
      <c r="W1" s="117"/>
      <c r="X1" s="84"/>
      <c r="Y1" s="84"/>
      <c r="Z1" s="84"/>
      <c r="AA1" s="84"/>
      <c r="AB1" s="84"/>
    </row>
    <row r="2" spans="1:28" s="42" customFormat="1" ht="5.0999999999999996" customHeight="1" x14ac:dyDescent="0.3">
      <c r="B2" s="124"/>
      <c r="C2" s="125"/>
      <c r="D2" s="125"/>
      <c r="E2" s="125"/>
      <c r="F2" s="125"/>
      <c r="G2" s="125"/>
      <c r="H2" s="126"/>
      <c r="I2" s="125"/>
      <c r="J2" s="126"/>
      <c r="K2" s="125"/>
      <c r="L2" s="126"/>
      <c r="M2" s="125"/>
      <c r="N2" s="126"/>
      <c r="O2" s="125"/>
      <c r="P2" s="125"/>
      <c r="Q2" s="126"/>
      <c r="R2" s="125"/>
      <c r="S2" s="126"/>
      <c r="T2" s="125"/>
      <c r="U2" s="126"/>
      <c r="V2" s="125"/>
      <c r="W2" s="126"/>
      <c r="X2" s="125"/>
      <c r="Y2" s="125"/>
      <c r="AB2" s="125"/>
    </row>
    <row r="3" spans="1:28" s="93" customFormat="1" ht="31.5" customHeight="1" x14ac:dyDescent="0.35">
      <c r="B3" s="127" t="s">
        <v>95</v>
      </c>
      <c r="C3" s="94"/>
      <c r="D3" s="94"/>
      <c r="E3" s="94"/>
      <c r="F3" s="94"/>
      <c r="H3" s="118"/>
      <c r="I3" s="94"/>
      <c r="J3" s="118"/>
      <c r="K3" s="94"/>
      <c r="L3" s="118"/>
      <c r="M3" s="95"/>
      <c r="N3" s="118"/>
      <c r="O3" s="95"/>
      <c r="P3" s="95"/>
      <c r="Q3" s="118"/>
      <c r="R3" s="95"/>
      <c r="S3" s="118"/>
      <c r="T3" s="95"/>
      <c r="U3" s="118"/>
      <c r="V3" s="95"/>
      <c r="W3" s="118"/>
      <c r="X3" s="95"/>
      <c r="Y3" s="95"/>
      <c r="Z3" s="94"/>
      <c r="AA3" s="96"/>
    </row>
    <row r="4" spans="1:28" ht="35.4" customHeight="1" thickBot="1" x14ac:dyDescent="0.5">
      <c r="B4" s="128" t="s">
        <v>178</v>
      </c>
      <c r="C4" s="13"/>
      <c r="D4" s="13"/>
      <c r="E4" s="13"/>
      <c r="F4" s="43"/>
      <c r="G4" s="13"/>
      <c r="H4" s="119"/>
      <c r="I4" s="13"/>
      <c r="J4" s="119"/>
      <c r="K4" s="13"/>
      <c r="L4" s="119"/>
      <c r="M4" s="14"/>
      <c r="N4" s="119"/>
      <c r="O4" s="14"/>
      <c r="P4" s="14"/>
      <c r="Q4" s="119"/>
      <c r="R4" s="14"/>
      <c r="S4" s="119"/>
      <c r="T4" s="14"/>
      <c r="U4" s="119"/>
      <c r="V4" s="14"/>
      <c r="W4" s="119"/>
      <c r="X4" s="14"/>
      <c r="Y4" s="14"/>
      <c r="Z4" s="13"/>
      <c r="AA4" s="15"/>
    </row>
    <row r="5" spans="1:28" ht="30.75" customHeight="1" thickTop="1" thickBot="1" x14ac:dyDescent="0.35">
      <c r="B5" s="338" t="s">
        <v>14</v>
      </c>
      <c r="C5" s="339" t="s">
        <v>18</v>
      </c>
      <c r="D5" s="339" t="s">
        <v>65</v>
      </c>
      <c r="E5" s="339" t="s">
        <v>19</v>
      </c>
      <c r="F5" s="343" t="s">
        <v>24</v>
      </c>
      <c r="G5" s="344"/>
      <c r="H5" s="343" t="s">
        <v>27</v>
      </c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3" t="s">
        <v>3</v>
      </c>
      <c r="AA5" s="344"/>
    </row>
    <row r="6" spans="1:28" ht="44.1" customHeight="1" thickTop="1" thickBot="1" x14ac:dyDescent="0.35">
      <c r="B6" s="338"/>
      <c r="C6" s="340"/>
      <c r="D6" s="340"/>
      <c r="E6" s="340"/>
      <c r="F6" s="345" t="s">
        <v>25</v>
      </c>
      <c r="G6" s="347" t="s">
        <v>26</v>
      </c>
      <c r="H6" s="343" t="s">
        <v>32</v>
      </c>
      <c r="I6" s="349"/>
      <c r="J6" s="349"/>
      <c r="K6" s="349"/>
      <c r="L6" s="349"/>
      <c r="M6" s="349"/>
      <c r="N6" s="349"/>
      <c r="O6" s="349"/>
      <c r="P6" s="349"/>
      <c r="Q6" s="343" t="s">
        <v>31</v>
      </c>
      <c r="R6" s="349"/>
      <c r="S6" s="349"/>
      <c r="T6" s="349"/>
      <c r="U6" s="349"/>
      <c r="V6" s="349"/>
      <c r="W6" s="349"/>
      <c r="X6" s="349"/>
      <c r="Y6" s="349"/>
      <c r="Z6" s="345" t="s">
        <v>9</v>
      </c>
      <c r="AA6" s="347" t="s">
        <v>17</v>
      </c>
    </row>
    <row r="7" spans="1:28" ht="51.75" customHeight="1" thickTop="1" thickBot="1" x14ac:dyDescent="0.35">
      <c r="B7" s="338"/>
      <c r="C7" s="341"/>
      <c r="D7" s="341"/>
      <c r="E7" s="341"/>
      <c r="F7" s="346"/>
      <c r="G7" s="348"/>
      <c r="H7" s="350" t="s">
        <v>117</v>
      </c>
      <c r="I7" s="351"/>
      <c r="J7" s="318" t="s">
        <v>28</v>
      </c>
      <c r="K7" s="318"/>
      <c r="L7" s="318" t="s">
        <v>29</v>
      </c>
      <c r="M7" s="318"/>
      <c r="N7" s="317" t="s">
        <v>30</v>
      </c>
      <c r="O7" s="318"/>
      <c r="P7" s="235" t="s">
        <v>118</v>
      </c>
      <c r="Q7" s="350" t="s">
        <v>117</v>
      </c>
      <c r="R7" s="351"/>
      <c r="S7" s="318" t="s">
        <v>28</v>
      </c>
      <c r="T7" s="318"/>
      <c r="U7" s="318" t="s">
        <v>29</v>
      </c>
      <c r="V7" s="318"/>
      <c r="W7" s="317" t="s">
        <v>30</v>
      </c>
      <c r="X7" s="318"/>
      <c r="Y7" s="235" t="s">
        <v>118</v>
      </c>
      <c r="Z7" s="346"/>
      <c r="AA7" s="348"/>
    </row>
    <row r="8" spans="1:28" s="83" customFormat="1" ht="21.75" customHeight="1" thickTop="1" thickBot="1" x14ac:dyDescent="0.35">
      <c r="B8" s="27" t="s">
        <v>164</v>
      </c>
      <c r="C8" s="27" t="s">
        <v>23</v>
      </c>
      <c r="D8" s="59">
        <v>1</v>
      </c>
      <c r="E8" s="27" t="s">
        <v>21</v>
      </c>
      <c r="F8" s="216" t="str">
        <f>INDEX(Q4_Paeds,15,7)</f>
        <v>No data</v>
      </c>
      <c r="G8" s="216" t="str">
        <f>INDEX(Q4_Paeds,15,8)</f>
        <v>No data</v>
      </c>
      <c r="H8" s="202" t="str">
        <f>INDEX(Q4_Paeds,15,9)</f>
        <v>No data</v>
      </c>
      <c r="I8" s="203">
        <f>IFERROR(H8/P8,0)</f>
        <v>0</v>
      </c>
      <c r="J8" s="204" t="str">
        <f>INDEX(Q4_Paeds,15,10)</f>
        <v>No data</v>
      </c>
      <c r="K8" s="203">
        <f>IFERROR(J8/P8,0)</f>
        <v>0</v>
      </c>
      <c r="L8" s="204" t="str">
        <f>INDEX(Q4_Paeds,15,11)</f>
        <v>No data</v>
      </c>
      <c r="M8" s="203">
        <f>IFERROR(L8/P8,0)</f>
        <v>0</v>
      </c>
      <c r="N8" s="204" t="str">
        <f>INDEX(Q4_Paeds,15,12)</f>
        <v>No data</v>
      </c>
      <c r="O8" s="203">
        <f>IFERROR(N8/P8,0)</f>
        <v>0</v>
      </c>
      <c r="P8" s="205" t="str">
        <f>INDEX(Q4_Paeds,15,13)</f>
        <v>No data</v>
      </c>
      <c r="Q8" s="202" t="str">
        <f>INDEX(Q4_Paeds,15,15)</f>
        <v>No data</v>
      </c>
      <c r="R8" s="203">
        <f>IFERROR(Q8/Y8,0)</f>
        <v>0</v>
      </c>
      <c r="S8" s="204" t="str">
        <f>INDEX(Q4_Paeds,15,16)</f>
        <v>No data</v>
      </c>
      <c r="T8" s="203">
        <f>IFERROR(S8/Y8,0)</f>
        <v>0</v>
      </c>
      <c r="U8" s="206" t="str">
        <f>INDEX(Q4_Paeds,15,17)</f>
        <v>No data</v>
      </c>
      <c r="V8" s="203">
        <f>IFERROR(U8/Y8,0)</f>
        <v>0</v>
      </c>
      <c r="W8" s="204" t="str">
        <f>INDEX(Q4_Paeds,15,18)</f>
        <v>No data</v>
      </c>
      <c r="X8" s="203">
        <f>IFERROR(W8/Y8,0)</f>
        <v>0</v>
      </c>
      <c r="Y8" s="205" t="str">
        <f>INDEX(Q4_Paeds,15,19)</f>
        <v>No data</v>
      </c>
      <c r="Z8" s="217" t="str">
        <f>INDEX(Q4_Paeds,15,21)</f>
        <v>No data</v>
      </c>
      <c r="AA8" s="218" t="str">
        <f>INDEX(Q4_Paeds,15,22)</f>
        <v>No data</v>
      </c>
    </row>
    <row r="9" spans="1:28" s="8" customFormat="1" ht="21.75" customHeight="1" thickTop="1" thickBot="1" x14ac:dyDescent="0.35">
      <c r="B9" s="28" t="s">
        <v>158</v>
      </c>
      <c r="C9" s="28" t="s">
        <v>23</v>
      </c>
      <c r="D9" s="60">
        <v>2</v>
      </c>
      <c r="E9" s="28" t="s">
        <v>22</v>
      </c>
      <c r="F9" s="219" t="str">
        <f>INDEX(Q4_Paeds,6,7)</f>
        <v>No data</v>
      </c>
      <c r="G9" s="220" t="str">
        <f>INDEX(Q4_Paeds,6,8)</f>
        <v>No data</v>
      </c>
      <c r="H9" s="207" t="str">
        <f>INDEX(Q4_Paeds,6,9)</f>
        <v>No data</v>
      </c>
      <c r="I9" s="208">
        <f>IFERROR(H9/P9,0)</f>
        <v>0</v>
      </c>
      <c r="J9" s="209" t="str">
        <f>INDEX(Q4_Paeds,6,10)</f>
        <v>No data</v>
      </c>
      <c r="K9" s="208">
        <f>IFERROR(J9/P9,0)</f>
        <v>0</v>
      </c>
      <c r="L9" s="209" t="str">
        <f>INDEX(Q4_Paeds,6,11)</f>
        <v>No data</v>
      </c>
      <c r="M9" s="208">
        <f>IFERROR(L9/P9,0)</f>
        <v>0</v>
      </c>
      <c r="N9" s="209" t="str">
        <f>INDEX(Q4_Paeds,6,12)</f>
        <v>No data</v>
      </c>
      <c r="O9" s="208">
        <f>IFERROR(N9/P9,0)</f>
        <v>0</v>
      </c>
      <c r="P9" s="210" t="str">
        <f>INDEX(Q4_Paeds,6,13)</f>
        <v>No data</v>
      </c>
      <c r="Q9" s="211" t="str">
        <f>INDEX(Q4_Paeds,6,15)</f>
        <v>No data</v>
      </c>
      <c r="R9" s="208">
        <f>IFERROR(Q9/Y9,0)</f>
        <v>0</v>
      </c>
      <c r="S9" s="209" t="str">
        <f>INDEX(Q4_Paeds,6,16)</f>
        <v>No data</v>
      </c>
      <c r="T9" s="208">
        <f>IFERROR(S9/Y9,0)</f>
        <v>0</v>
      </c>
      <c r="U9" s="212" t="str">
        <f>INDEX(Q4_Paeds,6,17)</f>
        <v>No data</v>
      </c>
      <c r="V9" s="208">
        <f>IFERROR(U9/Y9,0)</f>
        <v>0</v>
      </c>
      <c r="W9" s="209" t="str">
        <f>INDEX(Q4_Paeds,6,18)</f>
        <v>No data</v>
      </c>
      <c r="X9" s="208">
        <f>IFERROR(W9/Y9,0)</f>
        <v>0</v>
      </c>
      <c r="Y9" s="210" t="str">
        <f>INDEX(Q4_Paeds,6,19)</f>
        <v>No data</v>
      </c>
      <c r="Z9" s="221" t="str">
        <f>INDEX(Q4_Paeds,6,21)</f>
        <v>No data</v>
      </c>
      <c r="AA9" s="222" t="str">
        <f>INDEX(Q4_Paeds,6,22)</f>
        <v>No data</v>
      </c>
    </row>
    <row r="10" spans="1:28" s="8" customFormat="1" ht="21.75" customHeight="1" thickTop="1" thickBot="1" x14ac:dyDescent="0.35">
      <c r="B10" s="25" t="s">
        <v>157</v>
      </c>
      <c r="C10" s="25" t="s">
        <v>23</v>
      </c>
      <c r="D10" s="57">
        <v>3</v>
      </c>
      <c r="E10" s="25" t="s">
        <v>22</v>
      </c>
      <c r="F10" s="216" t="str">
        <f>INDEX(Q4_Paeds,5,7)</f>
        <v>No data</v>
      </c>
      <c r="G10" s="223" t="str">
        <f>INDEX(Q4_Paeds,5,8)</f>
        <v>No data</v>
      </c>
      <c r="H10" s="213" t="str">
        <f>INDEX(Q4_Paeds,5,9)</f>
        <v>No data</v>
      </c>
      <c r="I10" s="203">
        <f>IFERROR(H10/P10,0)</f>
        <v>0</v>
      </c>
      <c r="J10" s="204" t="str">
        <f>INDEX(Q4_Paeds,5,10)</f>
        <v>No data</v>
      </c>
      <c r="K10" s="203">
        <f>IFERROR(J10/P10,0)</f>
        <v>0</v>
      </c>
      <c r="L10" s="204" t="str">
        <f>INDEX(Q4_Paeds,5,11)</f>
        <v>No data</v>
      </c>
      <c r="M10" s="203">
        <f>IFERROR(L10/P10,0)</f>
        <v>0</v>
      </c>
      <c r="N10" s="204" t="str">
        <f>INDEX(Q4_Paeds,5,12)</f>
        <v>No data</v>
      </c>
      <c r="O10" s="203">
        <f>IFERROR(N10/P10,0)</f>
        <v>0</v>
      </c>
      <c r="P10" s="205" t="str">
        <f>INDEX(Q4_Paeds,5,13)</f>
        <v>No data</v>
      </c>
      <c r="Q10" s="202" t="str">
        <f>INDEX(Q4_Paeds,5,15)</f>
        <v>No data</v>
      </c>
      <c r="R10" s="203">
        <f>IFERROR(Q10/Y10,0)</f>
        <v>0</v>
      </c>
      <c r="S10" s="204" t="str">
        <f>INDEX(Q4_Paeds,5,16)</f>
        <v>No data</v>
      </c>
      <c r="T10" s="203">
        <f>IFERROR(S10/Y10,0)</f>
        <v>0</v>
      </c>
      <c r="U10" s="206" t="str">
        <f>INDEX(Q4_Paeds,5,17)</f>
        <v>No data</v>
      </c>
      <c r="V10" s="203">
        <f>IFERROR(U10/Y10,0)</f>
        <v>0</v>
      </c>
      <c r="W10" s="204" t="str">
        <f>INDEX(Q4_Paeds,5,18)</f>
        <v>No data</v>
      </c>
      <c r="X10" s="203">
        <f>IFERROR(W10/Y10,0)</f>
        <v>0</v>
      </c>
      <c r="Y10" s="205" t="str">
        <f>INDEX(Q4_Paeds,5,19)</f>
        <v>No data</v>
      </c>
      <c r="Z10" s="217" t="str">
        <f>INDEX(Q4_Paeds,5,21)</f>
        <v>No data</v>
      </c>
      <c r="AA10" s="218" t="str">
        <f>INDEX(Q4_Paeds,5,22)</f>
        <v>No data</v>
      </c>
    </row>
    <row r="11" spans="1:28" s="8" customFormat="1" ht="21.75" customHeight="1" thickTop="1" thickBot="1" x14ac:dyDescent="0.35">
      <c r="B11" s="29" t="s">
        <v>159</v>
      </c>
      <c r="C11" s="29" t="s">
        <v>23</v>
      </c>
      <c r="D11" s="61">
        <v>3</v>
      </c>
      <c r="E11" s="29" t="s">
        <v>22</v>
      </c>
      <c r="F11" s="219" t="str">
        <f>INDEX(Q4_Paeds,7,7)</f>
        <v>No data</v>
      </c>
      <c r="G11" s="220" t="str">
        <f>INDEX(Q4_Paeds,7,8)</f>
        <v>No data</v>
      </c>
      <c r="H11" s="207" t="str">
        <f>INDEX(Q4_Paeds,7,9)</f>
        <v>No data</v>
      </c>
      <c r="I11" s="208">
        <f t="shared" ref="I11:I25" si="0">IFERROR(H11/P11,0)</f>
        <v>0</v>
      </c>
      <c r="J11" s="209" t="str">
        <f>INDEX(Q4_Paeds,7,10)</f>
        <v>No data</v>
      </c>
      <c r="K11" s="208">
        <f t="shared" ref="K11:K25" si="1">IFERROR(J11/P11,0)</f>
        <v>0</v>
      </c>
      <c r="L11" s="209" t="str">
        <f>INDEX(Q4_Paeds,7,11)</f>
        <v>No data</v>
      </c>
      <c r="M11" s="208">
        <f t="shared" ref="M11:M25" si="2">IFERROR(L11/P11,0)</f>
        <v>0</v>
      </c>
      <c r="N11" s="209" t="str">
        <f>INDEX(Q4_Paeds,7,12)</f>
        <v>No data</v>
      </c>
      <c r="O11" s="208">
        <f t="shared" ref="O11:O25" si="3">IFERROR(N11/P11,0)</f>
        <v>0</v>
      </c>
      <c r="P11" s="210" t="str">
        <f>INDEX(Q4_Paeds,7,13)</f>
        <v>No data</v>
      </c>
      <c r="Q11" s="211" t="str">
        <f>INDEX(Q4_Paeds,7,15)</f>
        <v>No data</v>
      </c>
      <c r="R11" s="208">
        <f t="shared" ref="R11:R25" si="4">IFERROR(Q11/Y11,0)</f>
        <v>0</v>
      </c>
      <c r="S11" s="209" t="str">
        <f>INDEX(Q4_Paeds,7,16)</f>
        <v>No data</v>
      </c>
      <c r="T11" s="208">
        <f t="shared" ref="T11:T25" si="5">IFERROR(S11/Y11,0)</f>
        <v>0</v>
      </c>
      <c r="U11" s="212" t="str">
        <f>INDEX(Q4_Paeds,7,17)</f>
        <v>No data</v>
      </c>
      <c r="V11" s="208">
        <f t="shared" ref="V11:V25" si="6">IFERROR(U11/Y11,0)</f>
        <v>0</v>
      </c>
      <c r="W11" s="209" t="str">
        <f>INDEX(Q4_Paeds,7,18)</f>
        <v>No data</v>
      </c>
      <c r="X11" s="208">
        <f t="shared" ref="X11:X25" si="7">IFERROR(W11/Y11,0)</f>
        <v>0</v>
      </c>
      <c r="Y11" s="210" t="str">
        <f>INDEX(Q4_Paeds,7,19)</f>
        <v>No data</v>
      </c>
      <c r="Z11" s="221" t="str">
        <f>INDEX(Q4_Paeds,7,21)</f>
        <v>No data</v>
      </c>
      <c r="AA11" s="222" t="str">
        <f>INDEX(Q4_Paeds,7,22)</f>
        <v>No data</v>
      </c>
    </row>
    <row r="12" spans="1:28" s="8" customFormat="1" ht="21.75" customHeight="1" thickTop="1" thickBot="1" x14ac:dyDescent="0.35">
      <c r="B12" s="27" t="s">
        <v>160</v>
      </c>
      <c r="C12" s="27" t="s">
        <v>23</v>
      </c>
      <c r="D12" s="59">
        <v>3</v>
      </c>
      <c r="E12" s="27" t="s">
        <v>22</v>
      </c>
      <c r="F12" s="216" t="str">
        <f>INDEX(Q4_Paeds,8,7)</f>
        <v>No data</v>
      </c>
      <c r="G12" s="223" t="str">
        <f>INDEX(Q4_Paeds,8,8)</f>
        <v>No data</v>
      </c>
      <c r="H12" s="213" t="str">
        <f>INDEX(Q4_Paeds,8,9)</f>
        <v>No data</v>
      </c>
      <c r="I12" s="203">
        <f t="shared" si="0"/>
        <v>0</v>
      </c>
      <c r="J12" s="204" t="str">
        <f>INDEX(Q4_Paeds,8,10)</f>
        <v>No data</v>
      </c>
      <c r="K12" s="203">
        <f t="shared" si="1"/>
        <v>0</v>
      </c>
      <c r="L12" s="204" t="str">
        <f>INDEX(Q4_Paeds,8,11)</f>
        <v>No data</v>
      </c>
      <c r="M12" s="203">
        <f t="shared" si="2"/>
        <v>0</v>
      </c>
      <c r="N12" s="204" t="str">
        <f>INDEX(Q4_Paeds,8,12)</f>
        <v>No data</v>
      </c>
      <c r="O12" s="203">
        <f t="shared" si="3"/>
        <v>0</v>
      </c>
      <c r="P12" s="205" t="str">
        <f>INDEX(Q4_Paeds,8,13)</f>
        <v>No data</v>
      </c>
      <c r="Q12" s="202" t="str">
        <f>INDEX(Q4_Paeds,8,15)</f>
        <v>No data</v>
      </c>
      <c r="R12" s="203">
        <f t="shared" si="4"/>
        <v>0</v>
      </c>
      <c r="S12" s="204" t="str">
        <f>INDEX(Q4_Paeds,8,16)</f>
        <v>No data</v>
      </c>
      <c r="T12" s="203">
        <f t="shared" si="5"/>
        <v>0</v>
      </c>
      <c r="U12" s="206" t="str">
        <f>INDEX(Q4_Paeds,8,17)</f>
        <v>No data</v>
      </c>
      <c r="V12" s="203">
        <f t="shared" si="6"/>
        <v>0</v>
      </c>
      <c r="W12" s="204" t="str">
        <f>INDEX(Q4_Paeds,8,18)</f>
        <v>No data</v>
      </c>
      <c r="X12" s="203">
        <f t="shared" si="7"/>
        <v>0</v>
      </c>
      <c r="Y12" s="205" t="str">
        <f>INDEX(Q4_Paeds,8,19)</f>
        <v>No data</v>
      </c>
      <c r="Z12" s="217" t="str">
        <f>INDEX(Q4_Paeds,8,21)</f>
        <v>No data</v>
      </c>
      <c r="AA12" s="218" t="str">
        <f>INDEX(Q4_Paeds,8,22)</f>
        <v>No data</v>
      </c>
    </row>
    <row r="13" spans="1:28" s="8" customFormat="1" ht="21.75" customHeight="1" thickTop="1" thickBot="1" x14ac:dyDescent="0.35">
      <c r="B13" s="28" t="s">
        <v>161</v>
      </c>
      <c r="C13" s="28" t="s">
        <v>23</v>
      </c>
      <c r="D13" s="60">
        <v>3</v>
      </c>
      <c r="E13" s="28" t="s">
        <v>22</v>
      </c>
      <c r="F13" s="219" t="str">
        <f>INDEX(Q4_Paeds,9,7)</f>
        <v>No data</v>
      </c>
      <c r="G13" s="220" t="str">
        <f>INDEX(Q4_Paeds,9,8)</f>
        <v>No data</v>
      </c>
      <c r="H13" s="207" t="str">
        <f>INDEX(Q4_Paeds,9,9)</f>
        <v>No data</v>
      </c>
      <c r="I13" s="208">
        <f t="shared" si="0"/>
        <v>0</v>
      </c>
      <c r="J13" s="209" t="str">
        <f>INDEX(Q4_Paeds,9,10)</f>
        <v>No data</v>
      </c>
      <c r="K13" s="208">
        <f t="shared" si="1"/>
        <v>0</v>
      </c>
      <c r="L13" s="209" t="str">
        <f>INDEX(Q4_Paeds,9,11)</f>
        <v>No data</v>
      </c>
      <c r="M13" s="208">
        <f t="shared" si="2"/>
        <v>0</v>
      </c>
      <c r="N13" s="209" t="str">
        <f>INDEX(Q4_Paeds,9,12)</f>
        <v>No data</v>
      </c>
      <c r="O13" s="208">
        <f t="shared" si="3"/>
        <v>0</v>
      </c>
      <c r="P13" s="210" t="str">
        <f>INDEX(Q4_Paeds,9,13)</f>
        <v>No data</v>
      </c>
      <c r="Q13" s="211" t="str">
        <f>INDEX(Q4_Paeds,9,15)</f>
        <v>No data</v>
      </c>
      <c r="R13" s="208">
        <f t="shared" si="4"/>
        <v>0</v>
      </c>
      <c r="S13" s="209" t="str">
        <f>INDEX(Q4_Paeds,9,16)</f>
        <v>No data</v>
      </c>
      <c r="T13" s="208">
        <f t="shared" si="5"/>
        <v>0</v>
      </c>
      <c r="U13" s="212" t="str">
        <f>INDEX(Q4_Paeds,9,17)</f>
        <v>No data</v>
      </c>
      <c r="V13" s="208">
        <f t="shared" si="6"/>
        <v>0</v>
      </c>
      <c r="W13" s="209" t="str">
        <f>INDEX(Q4_Paeds,9,18)</f>
        <v>No data</v>
      </c>
      <c r="X13" s="208">
        <f t="shared" si="7"/>
        <v>0</v>
      </c>
      <c r="Y13" s="210" t="str">
        <f>INDEX(Q4_Paeds,9,19)</f>
        <v>No data</v>
      </c>
      <c r="Z13" s="221" t="str">
        <f>INDEX(Q4_Paeds,9,21)</f>
        <v>No data</v>
      </c>
      <c r="AA13" s="222" t="str">
        <f>INDEX(Q4_Paeds,9,22)</f>
        <v>No data</v>
      </c>
    </row>
    <row r="14" spans="1:28" s="8" customFormat="1" ht="21.75" customHeight="1" thickTop="1" thickBot="1" x14ac:dyDescent="0.35">
      <c r="B14" s="27" t="s">
        <v>165</v>
      </c>
      <c r="C14" s="27" t="s">
        <v>23</v>
      </c>
      <c r="D14" s="59">
        <v>3</v>
      </c>
      <c r="E14" s="27" t="s">
        <v>22</v>
      </c>
      <c r="F14" s="216" t="str">
        <f>INDEX(Q4_Paeds,10,7)</f>
        <v>No data</v>
      </c>
      <c r="G14" s="223" t="str">
        <f>INDEX(Q4_Paeds,10,8)</f>
        <v>No data</v>
      </c>
      <c r="H14" s="213" t="str">
        <f>INDEX(Q4_Paeds,10,9)</f>
        <v>No data</v>
      </c>
      <c r="I14" s="203">
        <f t="shared" si="0"/>
        <v>0</v>
      </c>
      <c r="J14" s="204" t="str">
        <f>INDEX(Q4_Paeds,10,10)</f>
        <v>No data</v>
      </c>
      <c r="K14" s="203">
        <f t="shared" si="1"/>
        <v>0</v>
      </c>
      <c r="L14" s="204" t="str">
        <f>INDEX(Q4_Paeds,10,11)</f>
        <v>No data</v>
      </c>
      <c r="M14" s="203">
        <f t="shared" si="2"/>
        <v>0</v>
      </c>
      <c r="N14" s="204" t="str">
        <f>INDEX(Q4_Paeds,10,12)</f>
        <v>No data</v>
      </c>
      <c r="O14" s="203">
        <f t="shared" si="3"/>
        <v>0</v>
      </c>
      <c r="P14" s="205" t="str">
        <f>INDEX(Q4_Paeds,10,13)</f>
        <v>No data</v>
      </c>
      <c r="Q14" s="202" t="str">
        <f>INDEX(Q4_Paeds,10,15)</f>
        <v>No data</v>
      </c>
      <c r="R14" s="203">
        <f t="shared" si="4"/>
        <v>0</v>
      </c>
      <c r="S14" s="204" t="str">
        <f>INDEX(Q4_Paeds,10,16)</f>
        <v>No data</v>
      </c>
      <c r="T14" s="203">
        <f t="shared" si="5"/>
        <v>0</v>
      </c>
      <c r="U14" s="206" t="str">
        <f>INDEX(Q4_Paeds,10,17)</f>
        <v>No data</v>
      </c>
      <c r="V14" s="203">
        <f t="shared" si="6"/>
        <v>0</v>
      </c>
      <c r="W14" s="204" t="str">
        <f>INDEX(Q4_Paeds,10,18)</f>
        <v>No data</v>
      </c>
      <c r="X14" s="203">
        <f t="shared" si="7"/>
        <v>0</v>
      </c>
      <c r="Y14" s="205" t="str">
        <f>INDEX(Q4_Paeds,10,19)</f>
        <v>No data</v>
      </c>
      <c r="Z14" s="217" t="str">
        <f>INDEX(Q4_Paeds,10,21)</f>
        <v>No data</v>
      </c>
      <c r="AA14" s="218" t="str">
        <f>INDEX(Q4_Paeds,10,22)</f>
        <v>No data</v>
      </c>
    </row>
    <row r="15" spans="1:28" s="8" customFormat="1" ht="21.75" customHeight="1" thickTop="1" thickBot="1" x14ac:dyDescent="0.35">
      <c r="B15" s="28" t="s">
        <v>166</v>
      </c>
      <c r="C15" s="28" t="s">
        <v>23</v>
      </c>
      <c r="D15" s="60">
        <v>3</v>
      </c>
      <c r="E15" s="28" t="s">
        <v>22</v>
      </c>
      <c r="F15" s="219" t="str">
        <f>INDEX(Q4_Paeds,11,7)</f>
        <v>No data</v>
      </c>
      <c r="G15" s="220" t="str">
        <f>INDEX(Q4_Paeds,11,8)</f>
        <v>No data</v>
      </c>
      <c r="H15" s="207" t="str">
        <f>INDEX(Q4_Paeds,11,9)</f>
        <v>No data</v>
      </c>
      <c r="I15" s="208">
        <f t="shared" si="0"/>
        <v>0</v>
      </c>
      <c r="J15" s="209" t="str">
        <f>INDEX(Q4_Paeds,11,10)</f>
        <v>No data</v>
      </c>
      <c r="K15" s="208">
        <f t="shared" si="1"/>
        <v>0</v>
      </c>
      <c r="L15" s="209" t="str">
        <f>INDEX(Q4_Paeds,11,11)</f>
        <v>No data</v>
      </c>
      <c r="M15" s="208">
        <f t="shared" si="2"/>
        <v>0</v>
      </c>
      <c r="N15" s="209" t="str">
        <f>INDEX(Q4_Paeds,11,12)</f>
        <v>No data</v>
      </c>
      <c r="O15" s="208">
        <f t="shared" si="3"/>
        <v>0</v>
      </c>
      <c r="P15" s="210" t="str">
        <f>INDEX(Q4_Paeds,11,13)</f>
        <v>No data</v>
      </c>
      <c r="Q15" s="211" t="str">
        <f>INDEX(Q4_Paeds,11,15)</f>
        <v>No data</v>
      </c>
      <c r="R15" s="208">
        <f t="shared" si="4"/>
        <v>0</v>
      </c>
      <c r="S15" s="209" t="str">
        <f>INDEX(Q4_Paeds,11,16)</f>
        <v>No data</v>
      </c>
      <c r="T15" s="208">
        <f t="shared" si="5"/>
        <v>0</v>
      </c>
      <c r="U15" s="212" t="str">
        <f>INDEX(Q4_Paeds,11,17)</f>
        <v>No data</v>
      </c>
      <c r="V15" s="208">
        <f t="shared" si="6"/>
        <v>0</v>
      </c>
      <c r="W15" s="209" t="str">
        <f>INDEX(Q4_Paeds,11,18)</f>
        <v>No data</v>
      </c>
      <c r="X15" s="208">
        <f t="shared" si="7"/>
        <v>0</v>
      </c>
      <c r="Y15" s="210" t="str">
        <f>INDEX(Q4_Paeds,11,19)</f>
        <v>No data</v>
      </c>
      <c r="Z15" s="221" t="str">
        <f>INDEX(Q4_Paeds,11,21)</f>
        <v>No data</v>
      </c>
      <c r="AA15" s="222" t="str">
        <f>INDEX(Q4_Paeds,11,22)</f>
        <v>No data</v>
      </c>
    </row>
    <row r="16" spans="1:28" s="8" customFormat="1" ht="21.75" customHeight="1" thickTop="1" thickBot="1" x14ac:dyDescent="0.35">
      <c r="B16" s="30" t="s">
        <v>162</v>
      </c>
      <c r="C16" s="30" t="s">
        <v>23</v>
      </c>
      <c r="D16" s="62">
        <v>3</v>
      </c>
      <c r="E16" s="30" t="s">
        <v>22</v>
      </c>
      <c r="F16" s="216" t="str">
        <f>INDEX(Q4_Paeds,12,7)</f>
        <v>No data</v>
      </c>
      <c r="G16" s="223" t="str">
        <f>INDEX(Q4_Paeds,12,8)</f>
        <v>No data</v>
      </c>
      <c r="H16" s="213" t="str">
        <f>INDEX(Q4_Paeds,12,9)</f>
        <v>No data</v>
      </c>
      <c r="I16" s="203">
        <f t="shared" si="0"/>
        <v>0</v>
      </c>
      <c r="J16" s="204" t="str">
        <f>INDEX(Q4_Paeds,12,10)</f>
        <v>No data</v>
      </c>
      <c r="K16" s="203">
        <f t="shared" si="1"/>
        <v>0</v>
      </c>
      <c r="L16" s="204" t="str">
        <f>INDEX(Q4_Paeds,12,11)</f>
        <v>No data</v>
      </c>
      <c r="M16" s="203">
        <f t="shared" si="2"/>
        <v>0</v>
      </c>
      <c r="N16" s="204" t="str">
        <f>INDEX(Q4_Paeds,12,12)</f>
        <v>No data</v>
      </c>
      <c r="O16" s="203">
        <f t="shared" si="3"/>
        <v>0</v>
      </c>
      <c r="P16" s="205" t="str">
        <f>INDEX(Q4_Paeds,12,13)</f>
        <v>No data</v>
      </c>
      <c r="Q16" s="202" t="str">
        <f>INDEX(Q4_Paeds,12,15)</f>
        <v>No data</v>
      </c>
      <c r="R16" s="203">
        <f t="shared" si="4"/>
        <v>0</v>
      </c>
      <c r="S16" s="204" t="str">
        <f>INDEX(Q4_Paeds,12,16)</f>
        <v>No data</v>
      </c>
      <c r="T16" s="203">
        <f t="shared" si="5"/>
        <v>0</v>
      </c>
      <c r="U16" s="206" t="str">
        <f>INDEX(Q4_Paeds,12,17)</f>
        <v>No data</v>
      </c>
      <c r="V16" s="203">
        <f t="shared" si="6"/>
        <v>0</v>
      </c>
      <c r="W16" s="204" t="str">
        <f>INDEX(Q4_Paeds,12,18)</f>
        <v>No data</v>
      </c>
      <c r="X16" s="203">
        <f t="shared" si="7"/>
        <v>0</v>
      </c>
      <c r="Y16" s="205" t="str">
        <f>INDEX(Q4_Paeds,12,19)</f>
        <v>No data</v>
      </c>
      <c r="Z16" s="217" t="str">
        <f>INDEX(Q4_Paeds,12,21)</f>
        <v>No data</v>
      </c>
      <c r="AA16" s="218" t="str">
        <f>INDEX(Q4_Paeds,12,22)</f>
        <v>No data</v>
      </c>
    </row>
    <row r="17" spans="2:27" s="8" customFormat="1" ht="21.75" customHeight="1" thickTop="1" thickBot="1" x14ac:dyDescent="0.35">
      <c r="B17" s="28" t="s">
        <v>58</v>
      </c>
      <c r="C17" s="28" t="s">
        <v>23</v>
      </c>
      <c r="D17" s="60">
        <v>3</v>
      </c>
      <c r="E17" s="28" t="s">
        <v>21</v>
      </c>
      <c r="F17" s="219" t="str">
        <f>INDEX(Q4_Paeds,13,7)</f>
        <v>No data</v>
      </c>
      <c r="G17" s="220" t="str">
        <f>INDEX(Q4_Paeds,13,8)</f>
        <v>No data</v>
      </c>
      <c r="H17" s="207" t="str">
        <f>INDEX(Q4_Paeds,13,9)</f>
        <v>No data</v>
      </c>
      <c r="I17" s="208">
        <f t="shared" si="0"/>
        <v>0</v>
      </c>
      <c r="J17" s="209" t="str">
        <f>INDEX(Q4_Paeds,13,10)</f>
        <v>No data</v>
      </c>
      <c r="K17" s="208">
        <f t="shared" si="1"/>
        <v>0</v>
      </c>
      <c r="L17" s="209" t="str">
        <f>INDEX(Q4_Paeds,13,11)</f>
        <v>No data</v>
      </c>
      <c r="M17" s="208">
        <f t="shared" si="2"/>
        <v>0</v>
      </c>
      <c r="N17" s="209" t="str">
        <f>INDEX(Q4_Paeds,13,12)</f>
        <v>No data</v>
      </c>
      <c r="O17" s="208">
        <f t="shared" si="3"/>
        <v>0</v>
      </c>
      <c r="P17" s="210" t="str">
        <f>INDEX(Q4_Paeds,13,13)</f>
        <v>No data</v>
      </c>
      <c r="Q17" s="211" t="str">
        <f>INDEX(Q4_Paeds,13,15)</f>
        <v>No data</v>
      </c>
      <c r="R17" s="208">
        <f t="shared" si="4"/>
        <v>0</v>
      </c>
      <c r="S17" s="209" t="str">
        <f>INDEX(Q4_Paeds,13,16)</f>
        <v>No data</v>
      </c>
      <c r="T17" s="208">
        <f t="shared" si="5"/>
        <v>0</v>
      </c>
      <c r="U17" s="212" t="str">
        <f>INDEX(Q4_Paeds,13,17)</f>
        <v>No data</v>
      </c>
      <c r="V17" s="208">
        <f t="shared" si="6"/>
        <v>0</v>
      </c>
      <c r="W17" s="209" t="str">
        <f>INDEX(Q4_Paeds,13,18)</f>
        <v>No data</v>
      </c>
      <c r="X17" s="208">
        <f t="shared" si="7"/>
        <v>0</v>
      </c>
      <c r="Y17" s="210" t="str">
        <f>INDEX(Q4_Paeds,13,19)</f>
        <v>No data</v>
      </c>
      <c r="Z17" s="221" t="str">
        <f>INDEX(Q4_Paeds,13,21)</f>
        <v>No data</v>
      </c>
      <c r="AA17" s="222" t="str">
        <f>INDEX(Q4_Paeds,13,22)</f>
        <v>No data</v>
      </c>
    </row>
    <row r="18" spans="2:27" s="8" customFormat="1" ht="21.75" customHeight="1" thickTop="1" thickBot="1" x14ac:dyDescent="0.35">
      <c r="B18" s="27" t="s">
        <v>59</v>
      </c>
      <c r="C18" s="27" t="s">
        <v>23</v>
      </c>
      <c r="D18" s="59">
        <v>3</v>
      </c>
      <c r="E18" s="27" t="s">
        <v>21</v>
      </c>
      <c r="F18" s="216" t="str">
        <f>INDEX(Q4_Paeds,14,7)</f>
        <v>No data</v>
      </c>
      <c r="G18" s="223" t="str">
        <f>INDEX(Q4_Paeds,14,8)</f>
        <v>No data</v>
      </c>
      <c r="H18" s="213" t="str">
        <f>INDEX(Q4_Paeds,14,9)</f>
        <v>No data</v>
      </c>
      <c r="I18" s="203">
        <f t="shared" si="0"/>
        <v>0</v>
      </c>
      <c r="J18" s="204" t="str">
        <f>INDEX(Q4_Paeds,14,10)</f>
        <v>No data</v>
      </c>
      <c r="K18" s="203">
        <f t="shared" si="1"/>
        <v>0</v>
      </c>
      <c r="L18" s="204" t="str">
        <f>INDEX(Q4_Paeds,14,11)</f>
        <v>No data</v>
      </c>
      <c r="M18" s="203">
        <f t="shared" si="2"/>
        <v>0</v>
      </c>
      <c r="N18" s="204" t="str">
        <f>INDEX(Q4_Paeds,14,12)</f>
        <v>No data</v>
      </c>
      <c r="O18" s="203">
        <f t="shared" si="3"/>
        <v>0</v>
      </c>
      <c r="P18" s="205" t="str">
        <f>INDEX(Q4_Paeds,14,13)</f>
        <v>No data</v>
      </c>
      <c r="Q18" s="202" t="str">
        <f>INDEX(Q4_Paeds,14,15)</f>
        <v>No data</v>
      </c>
      <c r="R18" s="203">
        <f t="shared" si="4"/>
        <v>0</v>
      </c>
      <c r="S18" s="204" t="str">
        <f>INDEX(Q4_Paeds,14,16)</f>
        <v>No data</v>
      </c>
      <c r="T18" s="203">
        <f t="shared" si="5"/>
        <v>0</v>
      </c>
      <c r="U18" s="206" t="str">
        <f>INDEX(Q4_Paeds,14,17)</f>
        <v>No data</v>
      </c>
      <c r="V18" s="203">
        <f t="shared" si="6"/>
        <v>0</v>
      </c>
      <c r="W18" s="204" t="str">
        <f>INDEX(Q4_Paeds,14,18)</f>
        <v>No data</v>
      </c>
      <c r="X18" s="203">
        <f t="shared" si="7"/>
        <v>0</v>
      </c>
      <c r="Y18" s="205" t="str">
        <f>INDEX(Q4_Paeds,14,19)</f>
        <v>No data</v>
      </c>
      <c r="Z18" s="217" t="str">
        <f>INDEX(Q4_Paeds,14,21)</f>
        <v>No data</v>
      </c>
      <c r="AA18" s="218" t="str">
        <f>INDEX(Q4_Paeds,14,22)</f>
        <v>No data</v>
      </c>
    </row>
    <row r="19" spans="2:27" s="8" customFormat="1" ht="21.75" customHeight="1" thickTop="1" thickBot="1" x14ac:dyDescent="0.35">
      <c r="B19" s="28" t="s">
        <v>60</v>
      </c>
      <c r="C19" s="28" t="s">
        <v>23</v>
      </c>
      <c r="D19" s="60">
        <v>3</v>
      </c>
      <c r="E19" s="28" t="s">
        <v>21</v>
      </c>
      <c r="F19" s="219" t="str">
        <f>INDEX(Q4_Paeds,16,7)</f>
        <v>No data</v>
      </c>
      <c r="G19" s="220" t="str">
        <f>INDEX(Q4_Paeds,16,8)</f>
        <v>No data</v>
      </c>
      <c r="H19" s="207" t="str">
        <f>INDEX(Q4_Paeds,16,9)</f>
        <v>No data</v>
      </c>
      <c r="I19" s="208">
        <f t="shared" si="0"/>
        <v>0</v>
      </c>
      <c r="J19" s="209" t="str">
        <f>INDEX(Q4_Paeds,16,10)</f>
        <v>No data</v>
      </c>
      <c r="K19" s="208">
        <f t="shared" si="1"/>
        <v>0</v>
      </c>
      <c r="L19" s="209" t="str">
        <f>INDEX(Q4_Paeds,16,11)</f>
        <v>No data</v>
      </c>
      <c r="M19" s="208">
        <f t="shared" si="2"/>
        <v>0</v>
      </c>
      <c r="N19" s="209" t="str">
        <f>INDEX(Q4_Paeds,16,12)</f>
        <v>No data</v>
      </c>
      <c r="O19" s="208">
        <f t="shared" si="3"/>
        <v>0</v>
      </c>
      <c r="P19" s="210" t="str">
        <f>INDEX(Q4_Paeds,16,13)</f>
        <v>No data</v>
      </c>
      <c r="Q19" s="211" t="str">
        <f>INDEX(Q4_Paeds,16,15)</f>
        <v>No data</v>
      </c>
      <c r="R19" s="208">
        <f t="shared" si="4"/>
        <v>0</v>
      </c>
      <c r="S19" s="209" t="str">
        <f>INDEX(Q4_Paeds,16,16)</f>
        <v>No data</v>
      </c>
      <c r="T19" s="208">
        <f t="shared" si="5"/>
        <v>0</v>
      </c>
      <c r="U19" s="212" t="str">
        <f>INDEX(Q4_Paeds,16,17)</f>
        <v>No data</v>
      </c>
      <c r="V19" s="208">
        <f t="shared" si="6"/>
        <v>0</v>
      </c>
      <c r="W19" s="209" t="str">
        <f>INDEX(Q4_Paeds,16,18)</f>
        <v>No data</v>
      </c>
      <c r="X19" s="208">
        <f t="shared" si="7"/>
        <v>0</v>
      </c>
      <c r="Y19" s="210" t="str">
        <f>INDEX(Q4_Paeds,16,19)</f>
        <v>No data</v>
      </c>
      <c r="Z19" s="221" t="str">
        <f>INDEX(Q4_Paeds,16,21)</f>
        <v>No data</v>
      </c>
      <c r="AA19" s="222" t="str">
        <f>INDEX(Q4_Paeds,16,22)</f>
        <v>No data</v>
      </c>
    </row>
    <row r="20" spans="2:27" s="8" customFormat="1" ht="21.75" customHeight="1" thickTop="1" thickBot="1" x14ac:dyDescent="0.35">
      <c r="B20" s="27" t="s">
        <v>56</v>
      </c>
      <c r="C20" s="27" t="s">
        <v>23</v>
      </c>
      <c r="D20" s="59">
        <v>3</v>
      </c>
      <c r="E20" s="27" t="s">
        <v>21</v>
      </c>
      <c r="F20" s="216" t="str">
        <f>INDEX(Q4_Paeds,17,7)</f>
        <v>No data</v>
      </c>
      <c r="G20" s="223" t="str">
        <f>INDEX(Q4_Paeds,17,8)</f>
        <v>No data</v>
      </c>
      <c r="H20" s="213" t="str">
        <f>INDEX(Q4_Paeds,17,9)</f>
        <v>No data</v>
      </c>
      <c r="I20" s="203">
        <f t="shared" si="0"/>
        <v>0</v>
      </c>
      <c r="J20" s="204" t="str">
        <f>INDEX(Q4_Paeds,17,10)</f>
        <v>No data</v>
      </c>
      <c r="K20" s="203">
        <f t="shared" si="1"/>
        <v>0</v>
      </c>
      <c r="L20" s="204" t="str">
        <f>INDEX(Q4_Paeds,17,11)</f>
        <v>No data</v>
      </c>
      <c r="M20" s="203">
        <f t="shared" si="2"/>
        <v>0</v>
      </c>
      <c r="N20" s="204" t="str">
        <f>INDEX(Q4_Paeds,17,12)</f>
        <v>No data</v>
      </c>
      <c r="O20" s="203">
        <f t="shared" si="3"/>
        <v>0</v>
      </c>
      <c r="P20" s="205" t="str">
        <f>INDEX(Q4_Paeds,17,13)</f>
        <v>No data</v>
      </c>
      <c r="Q20" s="202" t="str">
        <f>INDEX(Q4_Paeds,17,15)</f>
        <v>No data</v>
      </c>
      <c r="R20" s="203">
        <f t="shared" si="4"/>
        <v>0</v>
      </c>
      <c r="S20" s="204" t="str">
        <f>INDEX(Q4_Paeds,17,16)</f>
        <v>No data</v>
      </c>
      <c r="T20" s="203">
        <f t="shared" si="5"/>
        <v>0</v>
      </c>
      <c r="U20" s="206" t="str">
        <f>INDEX(Q4_Paeds,17,17)</f>
        <v>No data</v>
      </c>
      <c r="V20" s="203">
        <f t="shared" si="6"/>
        <v>0</v>
      </c>
      <c r="W20" s="204" t="str">
        <f>INDEX(Q4_Paeds,17,18)</f>
        <v>No data</v>
      </c>
      <c r="X20" s="203">
        <f t="shared" si="7"/>
        <v>0</v>
      </c>
      <c r="Y20" s="205" t="str">
        <f>INDEX(Q4_Paeds,17,19)</f>
        <v>No data</v>
      </c>
      <c r="Z20" s="217" t="str">
        <f>INDEX(Q4_Paeds,17,21)</f>
        <v>No data</v>
      </c>
      <c r="AA20" s="218" t="str">
        <f>INDEX(Q4_Paeds,17,22)</f>
        <v>No data</v>
      </c>
    </row>
    <row r="21" spans="2:27" s="8" customFormat="1" ht="21.75" customHeight="1" thickTop="1" thickBot="1" x14ac:dyDescent="0.35">
      <c r="B21" s="28" t="s">
        <v>61</v>
      </c>
      <c r="C21" s="28" t="s">
        <v>23</v>
      </c>
      <c r="D21" s="60">
        <v>3</v>
      </c>
      <c r="E21" s="28" t="s">
        <v>21</v>
      </c>
      <c r="F21" s="219" t="str">
        <f>INDEX(Q4_Paeds,18,7)</f>
        <v>No data</v>
      </c>
      <c r="G21" s="220" t="str">
        <f>INDEX(Q4_Paeds,18,8)</f>
        <v>No data</v>
      </c>
      <c r="H21" s="207" t="str">
        <f>INDEX(Q4_Paeds,18,9)</f>
        <v>No data</v>
      </c>
      <c r="I21" s="208">
        <f t="shared" si="0"/>
        <v>0</v>
      </c>
      <c r="J21" s="209" t="str">
        <f>INDEX(Q4_Paeds,18,10)</f>
        <v>No data</v>
      </c>
      <c r="K21" s="208">
        <f t="shared" si="1"/>
        <v>0</v>
      </c>
      <c r="L21" s="209" t="str">
        <f>INDEX(Q4_Paeds,18,11)</f>
        <v>No data</v>
      </c>
      <c r="M21" s="208">
        <f t="shared" si="2"/>
        <v>0</v>
      </c>
      <c r="N21" s="209" t="str">
        <f>INDEX(Q4_Paeds,18,12)</f>
        <v>No data</v>
      </c>
      <c r="O21" s="208">
        <f t="shared" si="3"/>
        <v>0</v>
      </c>
      <c r="P21" s="210" t="str">
        <f>INDEX(Q4_Paeds,18,13)</f>
        <v>No data</v>
      </c>
      <c r="Q21" s="211" t="str">
        <f>INDEX(Q4_Paeds,18,15)</f>
        <v>No data</v>
      </c>
      <c r="R21" s="208">
        <f t="shared" si="4"/>
        <v>0</v>
      </c>
      <c r="S21" s="209" t="str">
        <f>INDEX(Q4_Paeds,18,16)</f>
        <v>No data</v>
      </c>
      <c r="T21" s="208">
        <f t="shared" si="5"/>
        <v>0</v>
      </c>
      <c r="U21" s="212" t="str">
        <f>INDEX(Q4_Paeds,18,17)</f>
        <v>No data</v>
      </c>
      <c r="V21" s="208">
        <f t="shared" si="6"/>
        <v>0</v>
      </c>
      <c r="W21" s="209" t="str">
        <f>INDEX(Q4_Paeds,18,18)</f>
        <v>No data</v>
      </c>
      <c r="X21" s="208">
        <f t="shared" si="7"/>
        <v>0</v>
      </c>
      <c r="Y21" s="210" t="str">
        <f>INDEX(Q4_Paeds,18,19)</f>
        <v>No data</v>
      </c>
      <c r="Z21" s="221" t="str">
        <f>INDEX(Q4_Paeds,18,21)</f>
        <v>No data</v>
      </c>
      <c r="AA21" s="222" t="str">
        <f>INDEX(Q4_Paeds,18,22)</f>
        <v>No data</v>
      </c>
    </row>
    <row r="22" spans="2:27" s="8" customFormat="1" ht="21.75" customHeight="1" thickTop="1" thickBot="1" x14ac:dyDescent="0.35">
      <c r="B22" s="30" t="s">
        <v>52</v>
      </c>
      <c r="C22" s="30" t="s">
        <v>23</v>
      </c>
      <c r="D22" s="62">
        <v>3</v>
      </c>
      <c r="E22" s="30" t="s">
        <v>21</v>
      </c>
      <c r="F22" s="216" t="str">
        <f>INDEX(Q4_Paeds,19,7)</f>
        <v>No data</v>
      </c>
      <c r="G22" s="223" t="str">
        <f>INDEX(Q4_Paeds,19,8)</f>
        <v>No data</v>
      </c>
      <c r="H22" s="213" t="str">
        <f>INDEX(Q4_Paeds,19,9)</f>
        <v>No data</v>
      </c>
      <c r="I22" s="203">
        <f t="shared" si="0"/>
        <v>0</v>
      </c>
      <c r="J22" s="204" t="str">
        <f>INDEX(Q4_Paeds,19,10)</f>
        <v>No data</v>
      </c>
      <c r="K22" s="203">
        <f t="shared" si="1"/>
        <v>0</v>
      </c>
      <c r="L22" s="204" t="str">
        <f>INDEX(Q4_Paeds,19,11)</f>
        <v>No data</v>
      </c>
      <c r="M22" s="203">
        <f t="shared" si="2"/>
        <v>0</v>
      </c>
      <c r="N22" s="204" t="str">
        <f>INDEX(Q4_Paeds,19,12)</f>
        <v>No data</v>
      </c>
      <c r="O22" s="203">
        <f t="shared" si="3"/>
        <v>0</v>
      </c>
      <c r="P22" s="205" t="str">
        <f>INDEX(Q4_Paeds,19,13)</f>
        <v>No data</v>
      </c>
      <c r="Q22" s="202" t="str">
        <f>INDEX(Q4_Paeds,19,15)</f>
        <v>No data</v>
      </c>
      <c r="R22" s="203">
        <f t="shared" si="4"/>
        <v>0</v>
      </c>
      <c r="S22" s="204" t="str">
        <f>INDEX(Q4_Paeds,19,16)</f>
        <v>No data</v>
      </c>
      <c r="T22" s="214">
        <f t="shared" si="5"/>
        <v>0</v>
      </c>
      <c r="U22" s="206" t="str">
        <f>INDEX(Q4_Paeds,19,17)</f>
        <v>No data</v>
      </c>
      <c r="V22" s="203">
        <f t="shared" si="6"/>
        <v>0</v>
      </c>
      <c r="W22" s="204" t="str">
        <f>INDEX(Q4_Paeds,19,18)</f>
        <v>No data</v>
      </c>
      <c r="X22" s="203">
        <f t="shared" si="7"/>
        <v>0</v>
      </c>
      <c r="Y22" s="205" t="str">
        <f>INDEX(Q4_Paeds,19,19)</f>
        <v>No data</v>
      </c>
      <c r="Z22" s="217" t="str">
        <f>INDEX(Q4_Paeds,19,21)</f>
        <v>No data</v>
      </c>
      <c r="AA22" s="218" t="str">
        <f>INDEX(Q4_Paeds,19,22)</f>
        <v>No data</v>
      </c>
    </row>
    <row r="23" spans="2:27" s="8" customFormat="1" ht="21.75" customHeight="1" thickTop="1" thickBot="1" x14ac:dyDescent="0.35">
      <c r="B23" s="31" t="s">
        <v>57</v>
      </c>
      <c r="C23" s="31" t="s">
        <v>23</v>
      </c>
      <c r="D23" s="63">
        <v>3</v>
      </c>
      <c r="E23" s="31" t="s">
        <v>21</v>
      </c>
      <c r="F23" s="219" t="str">
        <f>INDEX(Q4_Paeds,20,7)</f>
        <v>No data</v>
      </c>
      <c r="G23" s="220" t="str">
        <f>INDEX(Q4_Paeds,20,8)</f>
        <v>No data</v>
      </c>
      <c r="H23" s="211" t="str">
        <f>INDEX(Q4_Paeds,20,9)</f>
        <v>No data</v>
      </c>
      <c r="I23" s="208">
        <f t="shared" si="0"/>
        <v>0</v>
      </c>
      <c r="J23" s="209" t="str">
        <f>INDEX(Q4_Paeds,20,10)</f>
        <v>No data</v>
      </c>
      <c r="K23" s="208">
        <f t="shared" si="1"/>
        <v>0</v>
      </c>
      <c r="L23" s="209" t="str">
        <f>INDEX(Q4_Paeds,20,11)</f>
        <v>No data</v>
      </c>
      <c r="M23" s="208">
        <f t="shared" si="2"/>
        <v>0</v>
      </c>
      <c r="N23" s="209" t="str">
        <f>INDEX(Q4_Paeds,20,12)</f>
        <v>No data</v>
      </c>
      <c r="O23" s="208">
        <f t="shared" si="3"/>
        <v>0</v>
      </c>
      <c r="P23" s="210" t="str">
        <f>INDEX(Q4_Paeds,20,13)</f>
        <v>No data</v>
      </c>
      <c r="Q23" s="211" t="str">
        <f>INDEX(Q4_Paeds,20,15)</f>
        <v>No data</v>
      </c>
      <c r="R23" s="208">
        <f t="shared" si="4"/>
        <v>0</v>
      </c>
      <c r="S23" s="209" t="str">
        <f>INDEX(Q4_Paeds,20,16)</f>
        <v>No data</v>
      </c>
      <c r="T23" s="208">
        <f t="shared" si="5"/>
        <v>0</v>
      </c>
      <c r="U23" s="215" t="str">
        <f>INDEX(Q4_Paeds,20,17)</f>
        <v>No data</v>
      </c>
      <c r="V23" s="208">
        <f t="shared" si="6"/>
        <v>0</v>
      </c>
      <c r="W23" s="209" t="str">
        <f>INDEX(Q4_Paeds,20,18)</f>
        <v>No data</v>
      </c>
      <c r="X23" s="208">
        <f t="shared" si="7"/>
        <v>0</v>
      </c>
      <c r="Y23" s="210" t="str">
        <f>INDEX(Q4_Paeds,20,19)</f>
        <v>No data</v>
      </c>
      <c r="Z23" s="221" t="str">
        <f>INDEX(Q4_Paeds,20,21)</f>
        <v>No data</v>
      </c>
      <c r="AA23" s="222" t="str">
        <f>INDEX(Q4_Paeds,20,22)</f>
        <v>No data</v>
      </c>
    </row>
    <row r="24" spans="2:27" s="8" customFormat="1" ht="21.75" customHeight="1" thickTop="1" thickBot="1" x14ac:dyDescent="0.35">
      <c r="B24" s="32" t="s">
        <v>54</v>
      </c>
      <c r="C24" s="32" t="s">
        <v>23</v>
      </c>
      <c r="D24" s="64">
        <v>3</v>
      </c>
      <c r="E24" s="32" t="s">
        <v>21</v>
      </c>
      <c r="F24" s="216" t="str">
        <f>INDEX(Q4_Paeds,21,7)</f>
        <v>No data</v>
      </c>
      <c r="G24" s="223" t="str">
        <f>INDEX(Q4_Paeds,21,8)</f>
        <v>No data</v>
      </c>
      <c r="H24" s="202" t="str">
        <f>INDEX(Q4_Paeds,21,9)</f>
        <v>No data</v>
      </c>
      <c r="I24" s="203">
        <f t="shared" si="0"/>
        <v>0</v>
      </c>
      <c r="J24" s="204" t="str">
        <f>INDEX(Q4_Paeds,21,10)</f>
        <v>No data</v>
      </c>
      <c r="K24" s="203">
        <f t="shared" si="1"/>
        <v>0</v>
      </c>
      <c r="L24" s="204" t="str">
        <f>INDEX(Q4_Paeds,21,11)</f>
        <v>No data</v>
      </c>
      <c r="M24" s="203">
        <f t="shared" si="2"/>
        <v>0</v>
      </c>
      <c r="N24" s="204" t="str">
        <f>INDEX(Q4_Paeds,21,12)</f>
        <v>No data</v>
      </c>
      <c r="O24" s="203">
        <f t="shared" si="3"/>
        <v>0</v>
      </c>
      <c r="P24" s="205" t="str">
        <f>INDEX(Q4_Paeds,21,13)</f>
        <v>No data</v>
      </c>
      <c r="Q24" s="202" t="str">
        <f>INDEX(Q4_Paeds,21,15)</f>
        <v>No data</v>
      </c>
      <c r="R24" s="203">
        <f t="shared" si="4"/>
        <v>0</v>
      </c>
      <c r="S24" s="204" t="str">
        <f>INDEX(Q4_Paeds,21,16)</f>
        <v>No data</v>
      </c>
      <c r="T24" s="203">
        <f t="shared" si="5"/>
        <v>0</v>
      </c>
      <c r="U24" s="206" t="str">
        <f>INDEX(Q4_Paeds,21,17)</f>
        <v>No data</v>
      </c>
      <c r="V24" s="203">
        <f t="shared" si="6"/>
        <v>0</v>
      </c>
      <c r="W24" s="204" t="str">
        <f>INDEX(Q4_Paeds,21,18)</f>
        <v>No data</v>
      </c>
      <c r="X24" s="203">
        <f t="shared" si="7"/>
        <v>0</v>
      </c>
      <c r="Y24" s="205" t="str">
        <f>INDEX(Q4_Paeds,21,19)</f>
        <v>No data</v>
      </c>
      <c r="Z24" s="217" t="str">
        <f>INDEX(Q4_Paeds,21,21)</f>
        <v>No data</v>
      </c>
      <c r="AA24" s="218" t="str">
        <f>INDEX(Q4_Paeds,21,22)</f>
        <v>No data</v>
      </c>
    </row>
    <row r="25" spans="2:27" s="8" customFormat="1" ht="21.75" customHeight="1" thickTop="1" thickBot="1" x14ac:dyDescent="0.35">
      <c r="B25" s="29" t="s">
        <v>62</v>
      </c>
      <c r="C25" s="29" t="s">
        <v>23</v>
      </c>
      <c r="D25" s="61">
        <v>3</v>
      </c>
      <c r="E25" s="29" t="s">
        <v>21</v>
      </c>
      <c r="F25" s="219" t="str">
        <f>INDEX(Q4_Paeds,22,7)</f>
        <v>No data</v>
      </c>
      <c r="G25" s="220" t="str">
        <f>INDEX(Q4_Paeds,22,8)</f>
        <v>No data</v>
      </c>
      <c r="H25" s="211" t="str">
        <f>INDEX(Q4_Paeds,22,9)</f>
        <v>No data</v>
      </c>
      <c r="I25" s="208">
        <f t="shared" si="0"/>
        <v>0</v>
      </c>
      <c r="J25" s="209" t="str">
        <f>INDEX(Q4_Paeds,22,10)</f>
        <v>No data</v>
      </c>
      <c r="K25" s="208">
        <f t="shared" si="1"/>
        <v>0</v>
      </c>
      <c r="L25" s="209" t="str">
        <f>INDEX(Q4_Paeds,22,11)</f>
        <v>No data</v>
      </c>
      <c r="M25" s="208">
        <f t="shared" si="2"/>
        <v>0</v>
      </c>
      <c r="N25" s="209" t="str">
        <f>INDEX(Q4_Paeds,22,12)</f>
        <v>No data</v>
      </c>
      <c r="O25" s="208">
        <f t="shared" si="3"/>
        <v>0</v>
      </c>
      <c r="P25" s="210" t="str">
        <f>INDEX(Q4_Paeds,22,13)</f>
        <v>No data</v>
      </c>
      <c r="Q25" s="211" t="str">
        <f>INDEX(Q4_Paeds,22,15)</f>
        <v>No data</v>
      </c>
      <c r="R25" s="208">
        <f t="shared" si="4"/>
        <v>0</v>
      </c>
      <c r="S25" s="209" t="str">
        <f>INDEX(Q4_Paeds,22,16)</f>
        <v>No data</v>
      </c>
      <c r="T25" s="208">
        <f t="shared" si="5"/>
        <v>0</v>
      </c>
      <c r="U25" s="215" t="str">
        <f>INDEX(Q4_Paeds,22,17)</f>
        <v>No data</v>
      </c>
      <c r="V25" s="208">
        <f t="shared" si="6"/>
        <v>0</v>
      </c>
      <c r="W25" s="209" t="str">
        <f>INDEX(Q4_Paeds,22,18)</f>
        <v>No data</v>
      </c>
      <c r="X25" s="208">
        <f t="shared" si="7"/>
        <v>0</v>
      </c>
      <c r="Y25" s="210" t="str">
        <f>INDEX(Q4_Paeds,22,19)</f>
        <v>No data</v>
      </c>
      <c r="Z25" s="221" t="str">
        <f>INDEX(Q4_Paeds,22,21)</f>
        <v>No data</v>
      </c>
      <c r="AA25" s="222" t="str">
        <f>INDEX(Q4_Paeds,22,22)</f>
        <v>No data</v>
      </c>
    </row>
    <row r="26" spans="2:27" ht="15" thickTop="1" x14ac:dyDescent="0.3">
      <c r="B26" s="16"/>
      <c r="C26" s="16"/>
      <c r="D26" s="16"/>
      <c r="E26" s="16"/>
      <c r="F26" s="15"/>
      <c r="G26" s="15"/>
      <c r="H26" s="120"/>
      <c r="I26" s="15"/>
      <c r="J26" s="120"/>
      <c r="K26" s="15"/>
      <c r="L26" s="120"/>
      <c r="M26" s="15"/>
      <c r="N26" s="120"/>
      <c r="O26" s="15"/>
      <c r="P26" s="15"/>
      <c r="Q26" s="120"/>
      <c r="R26" s="15"/>
      <c r="S26" s="120"/>
      <c r="T26" s="15"/>
      <c r="U26" s="120"/>
      <c r="V26" s="15"/>
      <c r="W26" s="120"/>
      <c r="X26" s="15"/>
      <c r="Y26" s="15"/>
      <c r="Z26" s="15"/>
      <c r="AA26" s="15"/>
    </row>
    <row r="27" spans="2:27" ht="15" thickBot="1" x14ac:dyDescent="0.35">
      <c r="B27" s="16"/>
      <c r="C27" s="16"/>
      <c r="D27" s="16"/>
      <c r="E27" s="16"/>
      <c r="F27" s="15"/>
      <c r="G27" s="15"/>
      <c r="H27" s="120"/>
      <c r="I27" s="15"/>
      <c r="J27" s="120"/>
      <c r="K27" s="15"/>
      <c r="L27" s="120"/>
      <c r="M27" s="15"/>
      <c r="N27" s="120"/>
      <c r="O27" s="15"/>
      <c r="P27" s="15"/>
      <c r="Q27" s="120"/>
      <c r="R27" s="15"/>
      <c r="S27" s="120"/>
      <c r="T27" s="15"/>
      <c r="U27" s="120"/>
      <c r="V27" s="15"/>
      <c r="W27" s="120"/>
      <c r="X27" s="15"/>
      <c r="Y27" s="15"/>
      <c r="Z27" s="15"/>
      <c r="AA27" s="15"/>
    </row>
    <row r="28" spans="2:27" ht="14.4" x14ac:dyDescent="0.3">
      <c r="B28" s="319" t="s">
        <v>86</v>
      </c>
      <c r="C28" s="320" t="s">
        <v>87</v>
      </c>
      <c r="D28" s="321"/>
      <c r="E28" s="322"/>
      <c r="F28" s="329" t="s">
        <v>78</v>
      </c>
      <c r="G28" s="300"/>
      <c r="H28" s="330"/>
      <c r="I28" s="331"/>
      <c r="J28" s="334" t="s">
        <v>84</v>
      </c>
      <c r="K28" s="335"/>
      <c r="L28" s="309" t="s">
        <v>84</v>
      </c>
      <c r="M28" s="310"/>
      <c r="N28" s="313" t="s">
        <v>84</v>
      </c>
      <c r="O28" s="314"/>
      <c r="P28" s="236"/>
      <c r="Q28" s="330"/>
      <c r="R28" s="331"/>
      <c r="S28" s="334" t="s">
        <v>84</v>
      </c>
      <c r="T28" s="335"/>
      <c r="U28" s="309" t="s">
        <v>84</v>
      </c>
      <c r="V28" s="310"/>
      <c r="W28" s="313" t="s">
        <v>84</v>
      </c>
      <c r="X28" s="314"/>
      <c r="Y28" s="129"/>
      <c r="Z28" s="299" t="s">
        <v>81</v>
      </c>
      <c r="AA28" s="300"/>
    </row>
    <row r="29" spans="2:27" ht="14.4" x14ac:dyDescent="0.3">
      <c r="B29" s="319"/>
      <c r="C29" s="323"/>
      <c r="D29" s="324"/>
      <c r="E29" s="325"/>
      <c r="F29" s="301" t="s">
        <v>79</v>
      </c>
      <c r="G29" s="302"/>
      <c r="H29" s="332"/>
      <c r="I29" s="333"/>
      <c r="J29" s="336"/>
      <c r="K29" s="337"/>
      <c r="L29" s="311"/>
      <c r="M29" s="312"/>
      <c r="N29" s="315"/>
      <c r="O29" s="316"/>
      <c r="P29" s="237"/>
      <c r="Q29" s="332"/>
      <c r="R29" s="333"/>
      <c r="S29" s="336"/>
      <c r="T29" s="337"/>
      <c r="U29" s="311"/>
      <c r="V29" s="312"/>
      <c r="W29" s="315"/>
      <c r="X29" s="316"/>
      <c r="Y29" s="130"/>
      <c r="Z29" s="303" t="s">
        <v>82</v>
      </c>
      <c r="AA29" s="302"/>
    </row>
    <row r="30" spans="2:27" ht="15" thickBot="1" x14ac:dyDescent="0.35">
      <c r="B30" s="319"/>
      <c r="C30" s="326"/>
      <c r="D30" s="327"/>
      <c r="E30" s="328"/>
      <c r="F30" s="342" t="s">
        <v>80</v>
      </c>
      <c r="G30" s="308"/>
      <c r="H30" s="304"/>
      <c r="I30" s="305"/>
      <c r="J30" s="306" t="s">
        <v>85</v>
      </c>
      <c r="K30" s="305"/>
      <c r="L30" s="306" t="s">
        <v>85</v>
      </c>
      <c r="M30" s="305"/>
      <c r="N30" s="306" t="s">
        <v>85</v>
      </c>
      <c r="O30" s="305"/>
      <c r="P30" s="234"/>
      <c r="Q30" s="304"/>
      <c r="R30" s="305"/>
      <c r="S30" s="306" t="s">
        <v>85</v>
      </c>
      <c r="T30" s="305"/>
      <c r="U30" s="306" t="s">
        <v>85</v>
      </c>
      <c r="V30" s="305"/>
      <c r="W30" s="306" t="s">
        <v>85</v>
      </c>
      <c r="X30" s="305"/>
      <c r="Y30" s="116"/>
      <c r="Z30" s="307" t="s">
        <v>83</v>
      </c>
      <c r="AA30" s="308"/>
    </row>
    <row r="31" spans="2:27" ht="14.4" x14ac:dyDescent="0.3">
      <c r="B31" s="17"/>
      <c r="C31" s="17"/>
      <c r="D31" s="17"/>
      <c r="E31" s="17"/>
      <c r="F31" s="18"/>
      <c r="G31" s="18"/>
      <c r="H31" s="121"/>
      <c r="I31" s="18"/>
      <c r="J31" s="121"/>
      <c r="K31" s="18"/>
      <c r="L31" s="121"/>
      <c r="M31" s="18"/>
      <c r="N31" s="121"/>
      <c r="O31" s="18"/>
      <c r="P31" s="18"/>
      <c r="Q31" s="121"/>
      <c r="R31" s="18"/>
      <c r="S31" s="121"/>
      <c r="T31" s="18"/>
      <c r="U31" s="121"/>
      <c r="V31" s="18"/>
      <c r="W31" s="121"/>
      <c r="X31" s="18"/>
      <c r="Y31" s="18"/>
      <c r="Z31" s="18"/>
      <c r="AA31" s="19"/>
    </row>
    <row r="32" spans="2:27" ht="14.4" x14ac:dyDescent="0.3">
      <c r="B32" s="15"/>
      <c r="C32" s="15"/>
      <c r="D32" s="15"/>
      <c r="E32" s="15"/>
      <c r="F32" s="20">
        <v>10</v>
      </c>
      <c r="G32" s="20">
        <v>10</v>
      </c>
      <c r="H32" s="122">
        <v>10</v>
      </c>
      <c r="I32" s="20"/>
      <c r="J32" s="122">
        <v>10</v>
      </c>
      <c r="K32" s="20">
        <v>10</v>
      </c>
      <c r="L32" s="122">
        <v>10</v>
      </c>
      <c r="M32" s="20"/>
      <c r="N32" s="122"/>
      <c r="O32" s="20"/>
      <c r="P32" s="20"/>
      <c r="Q32" s="122"/>
      <c r="R32" s="20"/>
      <c r="S32" s="122"/>
      <c r="T32" s="20"/>
      <c r="U32" s="122"/>
      <c r="V32" s="20"/>
      <c r="W32" s="122"/>
      <c r="X32" s="20"/>
      <c r="Y32" s="20"/>
      <c r="Z32" s="20"/>
      <c r="AA32" s="15"/>
    </row>
    <row r="33" spans="2:27" ht="14.4" x14ac:dyDescent="0.3">
      <c r="B33" s="16" t="s">
        <v>15</v>
      </c>
      <c r="C33" s="16"/>
      <c r="D33" s="16"/>
      <c r="E33" s="16"/>
      <c r="F33" s="21"/>
      <c r="G33" s="15"/>
      <c r="H33" s="120"/>
      <c r="I33" s="15"/>
      <c r="J33" s="120"/>
      <c r="K33" s="15"/>
      <c r="L33" s="120"/>
      <c r="M33" s="15"/>
      <c r="N33" s="120"/>
      <c r="O33" s="15"/>
      <c r="P33" s="15"/>
      <c r="Q33" s="120"/>
      <c r="R33" s="15"/>
      <c r="S33" s="120"/>
      <c r="T33" s="15"/>
      <c r="U33" s="120"/>
      <c r="V33" s="15"/>
      <c r="W33" s="120"/>
      <c r="X33" s="15"/>
      <c r="Y33" s="15"/>
      <c r="Z33" s="15"/>
      <c r="AA33" s="15"/>
    </row>
    <row r="34" spans="2:27" ht="14.4" x14ac:dyDescent="0.3">
      <c r="B34" s="22" t="s">
        <v>16</v>
      </c>
      <c r="C34" s="22"/>
      <c r="D34" s="22"/>
      <c r="E34" s="22"/>
      <c r="F34" s="15"/>
      <c r="G34" s="15"/>
      <c r="H34" s="120"/>
      <c r="I34" s="15"/>
      <c r="J34" s="120"/>
      <c r="K34" s="15"/>
      <c r="L34" s="120"/>
      <c r="M34" s="15"/>
      <c r="N34" s="120"/>
      <c r="O34" s="15"/>
      <c r="P34" s="15"/>
      <c r="Q34" s="120"/>
      <c r="R34" s="15"/>
      <c r="S34" s="120"/>
      <c r="T34" s="15"/>
      <c r="U34" s="120"/>
      <c r="V34" s="15"/>
      <c r="W34" s="120"/>
      <c r="X34" s="15"/>
      <c r="Y34" s="15"/>
      <c r="Z34" s="15"/>
      <c r="AA34" s="15"/>
    </row>
    <row r="35" spans="2:27" ht="14.4" x14ac:dyDescent="0.3">
      <c r="B35" s="23"/>
      <c r="C35" s="23"/>
      <c r="D35" s="23"/>
      <c r="E35" s="23"/>
      <c r="F35" s="15"/>
      <c r="G35" s="15"/>
      <c r="H35" s="120"/>
      <c r="I35" s="15"/>
      <c r="J35" s="120"/>
      <c r="K35" s="15"/>
      <c r="L35" s="120"/>
      <c r="M35" s="15"/>
      <c r="N35" s="120"/>
      <c r="O35" s="15"/>
      <c r="P35" s="15"/>
      <c r="Q35" s="120"/>
      <c r="R35" s="15"/>
      <c r="S35" s="120"/>
      <c r="T35" s="15"/>
      <c r="U35" s="120"/>
      <c r="V35" s="15"/>
      <c r="W35" s="120"/>
      <c r="X35" s="15"/>
      <c r="Y35" s="15"/>
      <c r="Z35" s="15"/>
      <c r="AA35" s="15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containsText" dxfId="20" priority="9" operator="containsText" text="N/A">
      <formula>NOT(ISERROR(SEARCH("N/A",F8)))</formula>
    </cfRule>
    <cfRule type="cellIs" dxfId="19" priority="16" operator="between">
      <formula>0.01</formula>
      <formula>13</formula>
    </cfRule>
    <cfRule type="cellIs" dxfId="18" priority="17" operator="between">
      <formula>13</formula>
      <formula>18</formula>
    </cfRule>
    <cfRule type="cellIs" dxfId="17" priority="18" operator="greaterThan">
      <formula>18</formula>
    </cfRule>
    <cfRule type="cellIs" dxfId="16" priority="19" operator="greaterThan">
      <formula>18</formula>
    </cfRule>
  </conditionalFormatting>
  <conditionalFormatting sqref="K8:K25 T8:T25">
    <cfRule type="cellIs" dxfId="15" priority="15" operator="greaterThan">
      <formula>0.49</formula>
    </cfRule>
  </conditionalFormatting>
  <conditionalFormatting sqref="V8:V25 M8:M25">
    <cfRule type="cellIs" dxfId="14" priority="14" operator="greaterThan">
      <formula>0.49</formula>
    </cfRule>
  </conditionalFormatting>
  <conditionalFormatting sqref="O8:O25 X8:X25">
    <cfRule type="cellIs" dxfId="13" priority="13" operator="greaterThan">
      <formula>0.49</formula>
    </cfRule>
  </conditionalFormatting>
  <conditionalFormatting sqref="Z8:AA25">
    <cfRule type="cellIs" dxfId="12" priority="10" operator="between">
      <formula>0.0001</formula>
      <formula>0.1</formula>
    </cfRule>
    <cfRule type="cellIs" dxfId="11" priority="11" operator="between">
      <formula>0.1</formula>
      <formula>0.19</formula>
    </cfRule>
    <cfRule type="cellIs" dxfId="10" priority="12" operator="greaterThan">
      <formula>0.2</formula>
    </cfRule>
  </conditionalFormatting>
  <conditionalFormatting sqref="J8:J25">
    <cfRule type="expression" dxfId="9" priority="8">
      <formula>($J8/$P8*100)&gt;49.49</formula>
    </cfRule>
  </conditionalFormatting>
  <conditionalFormatting sqref="L8:L25">
    <cfRule type="expression" dxfId="8" priority="7">
      <formula>($L8/$P8*100)&gt;49.49</formula>
    </cfRule>
  </conditionalFormatting>
  <conditionalFormatting sqref="N8:N25">
    <cfRule type="expression" dxfId="7" priority="6">
      <formula>($N8/$P8*100)&gt;49.49</formula>
    </cfRule>
  </conditionalFormatting>
  <conditionalFormatting sqref="S8:S25">
    <cfRule type="expression" dxfId="6" priority="5">
      <formula>($S8/$Y8*100)&gt;49.49</formula>
    </cfRule>
  </conditionalFormatting>
  <conditionalFormatting sqref="U8:U25">
    <cfRule type="expression" dxfId="5" priority="4">
      <formula>($U8/$Y8*100)&gt;49.49</formula>
    </cfRule>
  </conditionalFormatting>
  <conditionalFormatting sqref="W8:W25">
    <cfRule type="expression" dxfId="4" priority="3">
      <formula>($W8/$Y8*100)&gt;49.49</formula>
    </cfRule>
  </conditionalFormatting>
  <conditionalFormatting sqref="L9">
    <cfRule type="expression" dxfId="3" priority="2">
      <formula>"$M$9=&gt;.499"</formula>
    </cfRule>
  </conditionalFormatting>
  <conditionalFormatting sqref="F8:AA25">
    <cfRule type="expression" dxfId="2" priority="1">
      <formula>$F8="No data"</formula>
    </cfRule>
  </conditionalFormatting>
  <hyperlinks>
    <hyperlink ref="C28:E30" location="Sheet1!A1" display="For more information on rag ratings please click here" xr:uid="{00000000-0004-0000-0C00-000000000000}"/>
    <hyperlink ref="B3" location="'Front Page'!A1" display="Return to Contents" xr:uid="{00000000-0004-0000-0C00-000001000000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456"/>
  <sheetViews>
    <sheetView showGridLines="0" zoomScale="85" zoomScaleNormal="85" workbookViewId="0">
      <selection activeCell="A2" sqref="A2:AC2"/>
    </sheetView>
  </sheetViews>
  <sheetFormatPr defaultColWidth="0" defaultRowHeight="14.4" customHeight="1" zeroHeight="1" x14ac:dyDescent="0.3"/>
  <cols>
    <col min="1" max="29" width="9.109375" style="33" customWidth="1"/>
    <col min="30" max="16384" width="9.109375" style="33" hidden="1"/>
  </cols>
  <sheetData>
    <row r="1" spans="1:29" s="10" customFormat="1" ht="35.25" customHeight="1" x14ac:dyDescent="0.3">
      <c r="A1" s="352" t="s">
        <v>96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3" t="s">
        <v>95</v>
      </c>
      <c r="Z1" s="353"/>
      <c r="AA1" s="353"/>
    </row>
    <row r="2" spans="1:29" s="80" customFormat="1" ht="30" customHeight="1" x14ac:dyDescent="0.3">
      <c r="A2" s="354" t="s">
        <v>179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</row>
    <row r="3" spans="1:29" s="81" customFormat="1" ht="25.5" customHeight="1" x14ac:dyDescent="0.3">
      <c r="B3" s="82" t="s">
        <v>106</v>
      </c>
    </row>
    <row r="4" spans="1:29" s="12" customFormat="1" x14ac:dyDescent="0.3"/>
    <row r="5" spans="1:29" s="12" customFormat="1" x14ac:dyDescent="0.3"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</row>
    <row r="6" spans="1:29" s="12" customFormat="1" x14ac:dyDescent="0.3"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</row>
    <row r="7" spans="1:29" s="12" customFormat="1" x14ac:dyDescent="0.3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</row>
    <row r="8" spans="1:29" s="12" customFormat="1" x14ac:dyDescent="0.3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</row>
    <row r="9" spans="1:29" s="12" customFormat="1" x14ac:dyDescent="0.3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</row>
    <row r="10" spans="1:29" s="12" customFormat="1" x14ac:dyDescent="0.3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</row>
    <row r="11" spans="1:29" s="12" customFormat="1" x14ac:dyDescent="0.3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</row>
    <row r="12" spans="1:29" s="12" customFormat="1" x14ac:dyDescent="0.3"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</row>
    <row r="13" spans="1:29" s="12" customFormat="1" x14ac:dyDescent="0.3"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</row>
    <row r="14" spans="1:29" s="12" customFormat="1" x14ac:dyDescent="0.3"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</row>
    <row r="15" spans="1:29" s="12" customFormat="1" x14ac:dyDescent="0.3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</row>
    <row r="16" spans="1:29" s="12" customFormat="1" x14ac:dyDescent="0.3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</row>
    <row r="17" spans="2:28" s="12" customFormat="1" x14ac:dyDescent="0.3"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</row>
    <row r="18" spans="2:28" s="12" customFormat="1" x14ac:dyDescent="0.3"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</row>
    <row r="19" spans="2:28" s="12" customFormat="1" x14ac:dyDescent="0.3"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</row>
    <row r="20" spans="2:28" s="12" customFormat="1" x14ac:dyDescent="0.3"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</row>
    <row r="21" spans="2:28" s="12" customFormat="1" x14ac:dyDescent="0.3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</row>
    <row r="22" spans="2:28" s="12" customFormat="1" x14ac:dyDescent="0.3"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</row>
    <row r="23" spans="2:28" s="12" customFormat="1" x14ac:dyDescent="0.3"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</row>
    <row r="24" spans="2:28" s="12" customFormat="1" x14ac:dyDescent="0.3"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</row>
    <row r="25" spans="2:28" s="12" customFormat="1" x14ac:dyDescent="0.3"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</row>
    <row r="26" spans="2:28" s="12" customFormat="1" x14ac:dyDescent="0.3"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</row>
    <row r="27" spans="2:28" s="12" customFormat="1" x14ac:dyDescent="0.3"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</row>
    <row r="28" spans="2:28" s="12" customFormat="1" x14ac:dyDescent="0.3"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</row>
    <row r="29" spans="2:28" s="12" customFormat="1" x14ac:dyDescent="0.3"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</row>
    <row r="30" spans="2:28" s="12" customFormat="1" x14ac:dyDescent="0.3"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</row>
    <row r="31" spans="2:28" s="12" customFormat="1" x14ac:dyDescent="0.3"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</row>
    <row r="32" spans="2:28" s="12" customFormat="1" x14ac:dyDescent="0.3"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</row>
    <row r="33" spans="1:28" s="12" customFormat="1" x14ac:dyDescent="0.3"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</row>
    <row r="34" spans="1:28" s="12" customFormat="1" x14ac:dyDescent="0.3"/>
    <row r="35" spans="1:28" s="12" customFormat="1" x14ac:dyDescent="0.3"/>
    <row r="36" spans="1:28" s="81" customFormat="1" ht="25.5" customHeight="1" x14ac:dyDescent="0.3">
      <c r="B36" s="82" t="s">
        <v>97</v>
      </c>
    </row>
    <row r="37" spans="1:28" s="12" customFormat="1" x14ac:dyDescent="0.3"/>
    <row r="38" spans="1:28" s="79" customFormat="1" x14ac:dyDescent="0.3">
      <c r="A38" s="12"/>
    </row>
    <row r="39" spans="1:28" s="79" customFormat="1" x14ac:dyDescent="0.3">
      <c r="A39" s="12"/>
    </row>
    <row r="40" spans="1:28" s="79" customFormat="1" x14ac:dyDescent="0.3">
      <c r="A40" s="12"/>
    </row>
    <row r="41" spans="1:28" s="79" customFormat="1" x14ac:dyDescent="0.3">
      <c r="A41" s="12"/>
    </row>
    <row r="42" spans="1:28" s="79" customFormat="1" x14ac:dyDescent="0.3">
      <c r="A42" s="12"/>
    </row>
    <row r="43" spans="1:28" s="79" customFormat="1" x14ac:dyDescent="0.3">
      <c r="A43" s="12"/>
    </row>
    <row r="44" spans="1:28" s="79" customFormat="1" x14ac:dyDescent="0.3">
      <c r="A44" s="12"/>
    </row>
    <row r="45" spans="1:28" s="79" customFormat="1" x14ac:dyDescent="0.3">
      <c r="A45" s="12"/>
    </row>
    <row r="46" spans="1:28" s="79" customFormat="1" x14ac:dyDescent="0.3">
      <c r="A46" s="12"/>
    </row>
    <row r="47" spans="1:28" s="79" customFormat="1" x14ac:dyDescent="0.3">
      <c r="A47" s="12"/>
    </row>
    <row r="48" spans="1:28" s="79" customFormat="1" x14ac:dyDescent="0.3">
      <c r="A48" s="12"/>
    </row>
    <row r="49" spans="1:1" s="79" customFormat="1" x14ac:dyDescent="0.3">
      <c r="A49" s="12"/>
    </row>
    <row r="50" spans="1:1" s="79" customFormat="1" x14ac:dyDescent="0.3">
      <c r="A50" s="12"/>
    </row>
    <row r="51" spans="1:1" s="79" customFormat="1" x14ac:dyDescent="0.3">
      <c r="A51" s="12"/>
    </row>
    <row r="52" spans="1:1" s="79" customFormat="1" x14ac:dyDescent="0.3">
      <c r="A52" s="12"/>
    </row>
    <row r="53" spans="1:1" s="79" customFormat="1" x14ac:dyDescent="0.3">
      <c r="A53" s="12"/>
    </row>
    <row r="54" spans="1:1" s="79" customFormat="1" x14ac:dyDescent="0.3">
      <c r="A54" s="12"/>
    </row>
    <row r="55" spans="1:1" s="79" customFormat="1" x14ac:dyDescent="0.3">
      <c r="A55" s="12"/>
    </row>
    <row r="56" spans="1:1" s="79" customFormat="1" x14ac:dyDescent="0.3">
      <c r="A56" s="12"/>
    </row>
    <row r="57" spans="1:1" s="79" customFormat="1" x14ac:dyDescent="0.3">
      <c r="A57" s="12"/>
    </row>
    <row r="58" spans="1:1" s="79" customFormat="1" x14ac:dyDescent="0.3">
      <c r="A58" s="12"/>
    </row>
    <row r="59" spans="1:1" s="79" customFormat="1" x14ac:dyDescent="0.3">
      <c r="A59" s="12"/>
    </row>
    <row r="60" spans="1:1" s="79" customFormat="1" x14ac:dyDescent="0.3">
      <c r="A60" s="12"/>
    </row>
    <row r="61" spans="1:1" s="79" customFormat="1" x14ac:dyDescent="0.3">
      <c r="A61" s="12"/>
    </row>
    <row r="62" spans="1:1" s="79" customFormat="1" x14ac:dyDescent="0.3">
      <c r="A62" s="12"/>
    </row>
    <row r="63" spans="1:1" s="79" customFormat="1" x14ac:dyDescent="0.3">
      <c r="A63" s="12"/>
    </row>
    <row r="64" spans="1:1" s="79" customFormat="1" x14ac:dyDescent="0.3">
      <c r="A64" s="12"/>
    </row>
    <row r="65" spans="1:1" s="79" customFormat="1" x14ac:dyDescent="0.3">
      <c r="A65" s="12"/>
    </row>
    <row r="66" spans="1:1" s="79" customFormat="1" x14ac:dyDescent="0.3">
      <c r="A66" s="12"/>
    </row>
    <row r="67" spans="1:1" s="79" customFormat="1" x14ac:dyDescent="0.3">
      <c r="A67" s="12"/>
    </row>
    <row r="68" spans="1:1" s="79" customFormat="1" x14ac:dyDescent="0.3">
      <c r="A68" s="12"/>
    </row>
    <row r="69" spans="1:1" s="79" customFormat="1" x14ac:dyDescent="0.3">
      <c r="A69" s="12"/>
    </row>
    <row r="70" spans="1:1" s="79" customFormat="1" x14ac:dyDescent="0.3">
      <c r="A70" s="12"/>
    </row>
    <row r="71" spans="1:1" s="79" customFormat="1" x14ac:dyDescent="0.3">
      <c r="A71" s="12"/>
    </row>
    <row r="72" spans="1:1" s="79" customFormat="1" x14ac:dyDescent="0.3">
      <c r="A72" s="12"/>
    </row>
    <row r="73" spans="1:1" s="79" customFormat="1" x14ac:dyDescent="0.3">
      <c r="A73" s="12"/>
    </row>
    <row r="74" spans="1:1" s="79" customFormat="1" x14ac:dyDescent="0.3">
      <c r="A74" s="12"/>
    </row>
    <row r="75" spans="1:1" s="79" customFormat="1" x14ac:dyDescent="0.3">
      <c r="A75" s="12"/>
    </row>
    <row r="76" spans="1:1" s="79" customFormat="1" x14ac:dyDescent="0.3">
      <c r="A76" s="12"/>
    </row>
    <row r="77" spans="1:1" s="79" customFormat="1" x14ac:dyDescent="0.3">
      <c r="A77" s="12"/>
    </row>
    <row r="78" spans="1:1" s="79" customFormat="1" x14ac:dyDescent="0.3">
      <c r="A78" s="12"/>
    </row>
    <row r="79" spans="1:1" s="79" customFormat="1" x14ac:dyDescent="0.3">
      <c r="A79" s="12"/>
    </row>
    <row r="80" spans="1:1" s="79" customFormat="1" x14ac:dyDescent="0.3">
      <c r="A80" s="12"/>
    </row>
    <row r="81" spans="1:29" s="79" customFormat="1" x14ac:dyDescent="0.3">
      <c r="A81" s="12"/>
    </row>
    <row r="82" spans="1:29" s="79" customFormat="1" x14ac:dyDescent="0.3">
      <c r="A82" s="12"/>
    </row>
    <row r="83" spans="1:29" s="79" customFormat="1" x14ac:dyDescent="0.3">
      <c r="A83" s="12"/>
    </row>
    <row r="84" spans="1:29" s="79" customFormat="1" x14ac:dyDescent="0.3">
      <c r="A84" s="12"/>
    </row>
    <row r="85" spans="1:29" s="79" customFormat="1" x14ac:dyDescent="0.3">
      <c r="A85" s="12"/>
    </row>
    <row r="86" spans="1:29" s="79" customFormat="1" x14ac:dyDescent="0.3">
      <c r="A86" s="12"/>
    </row>
    <row r="87" spans="1:29" s="79" customFormat="1" x14ac:dyDescent="0.3">
      <c r="A87" s="12"/>
    </row>
    <row r="88" spans="1:29" s="79" customFormat="1" x14ac:dyDescent="0.3">
      <c r="A88" s="12"/>
    </row>
    <row r="89" spans="1:29" s="12" customFormat="1" x14ac:dyDescent="0.3"/>
    <row r="90" spans="1:29" s="12" customFormat="1" x14ac:dyDescent="0.3"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</row>
    <row r="91" spans="1:29" s="12" customFormat="1" x14ac:dyDescent="0.3"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</row>
    <row r="92" spans="1:29" s="12" customFormat="1" x14ac:dyDescent="0.3"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</row>
    <row r="93" spans="1:29" s="12" customFormat="1" x14ac:dyDescent="0.3"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</row>
    <row r="94" spans="1:29" s="12" customFormat="1" x14ac:dyDescent="0.3"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</row>
    <row r="95" spans="1:29" s="12" customFormat="1" x14ac:dyDescent="0.3"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</row>
    <row r="96" spans="1:29" s="12" customFormat="1" x14ac:dyDescent="0.3"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</row>
    <row r="97" spans="2:29" s="12" customFormat="1" x14ac:dyDescent="0.3"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</row>
    <row r="98" spans="2:29" s="12" customFormat="1" x14ac:dyDescent="0.3"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</row>
    <row r="99" spans="2:29" s="12" customFormat="1" x14ac:dyDescent="0.3"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</row>
    <row r="100" spans="2:29" s="12" customFormat="1" x14ac:dyDescent="0.3"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</row>
    <row r="101" spans="2:29" s="12" customFormat="1" x14ac:dyDescent="0.3"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</row>
    <row r="102" spans="2:29" s="12" customFormat="1" x14ac:dyDescent="0.3"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</row>
    <row r="103" spans="2:29" s="12" customFormat="1" x14ac:dyDescent="0.3"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</row>
    <row r="104" spans="2:29" s="12" customFormat="1" x14ac:dyDescent="0.3"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</row>
    <row r="105" spans="2:29" s="12" customFormat="1" x14ac:dyDescent="0.3"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</row>
    <row r="106" spans="2:29" s="12" customFormat="1" x14ac:dyDescent="0.3"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</row>
    <row r="107" spans="2:29" s="12" customFormat="1" x14ac:dyDescent="0.3"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</row>
    <row r="108" spans="2:29" s="12" customFormat="1" x14ac:dyDescent="0.3"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</row>
    <row r="109" spans="2:29" s="12" customFormat="1" x14ac:dyDescent="0.3"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</row>
    <row r="110" spans="2:29" s="12" customFormat="1" x14ac:dyDescent="0.3"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</row>
    <row r="111" spans="2:29" s="12" customFormat="1" x14ac:dyDescent="0.3"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</row>
    <row r="112" spans="2:29" s="12" customFormat="1" x14ac:dyDescent="0.3"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</row>
    <row r="113" spans="2:29" s="12" customFormat="1" x14ac:dyDescent="0.3"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</row>
    <row r="114" spans="2:29" s="12" customFormat="1" x14ac:dyDescent="0.3"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</row>
    <row r="115" spans="2:29" s="12" customFormat="1" x14ac:dyDescent="0.3"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</row>
    <row r="116" spans="2:29" s="12" customFormat="1" x14ac:dyDescent="0.3"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</row>
    <row r="117" spans="2:29" s="12" customFormat="1" x14ac:dyDescent="0.3"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</row>
    <row r="118" spans="2:29" s="12" customFormat="1" x14ac:dyDescent="0.3"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</row>
    <row r="119" spans="2:29" s="12" customFormat="1" x14ac:dyDescent="0.3"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</row>
    <row r="120" spans="2:29" s="12" customFormat="1" x14ac:dyDescent="0.3"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</row>
    <row r="121" spans="2:29" s="12" customFormat="1" x14ac:dyDescent="0.3"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</row>
    <row r="122" spans="2:29" s="12" customFormat="1" x14ac:dyDescent="0.3"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9"/>
    </row>
    <row r="123" spans="2:29" s="12" customFormat="1" x14ac:dyDescent="0.3"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79"/>
    </row>
    <row r="124" spans="2:29" s="12" customFormat="1" x14ac:dyDescent="0.3"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  <c r="AC124" s="79"/>
    </row>
    <row r="125" spans="2:29" s="12" customFormat="1" x14ac:dyDescent="0.3"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</row>
    <row r="126" spans="2:29" s="12" customFormat="1" x14ac:dyDescent="0.3"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</row>
    <row r="127" spans="2:29" s="12" customFormat="1" x14ac:dyDescent="0.3"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</row>
    <row r="128" spans="2:29" s="12" customFormat="1" x14ac:dyDescent="0.3"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79"/>
    </row>
    <row r="129" spans="2:29" s="12" customFormat="1" x14ac:dyDescent="0.3"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</row>
    <row r="130" spans="2:29" s="12" customFormat="1" x14ac:dyDescent="0.3"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79"/>
    </row>
    <row r="131" spans="2:29" s="12" customFormat="1" x14ac:dyDescent="0.3"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</row>
    <row r="132" spans="2:29" s="12" customFormat="1" x14ac:dyDescent="0.3"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C132" s="79"/>
    </row>
    <row r="133" spans="2:29" s="12" customFormat="1" x14ac:dyDescent="0.3"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</row>
    <row r="134" spans="2:29" s="12" customFormat="1" x14ac:dyDescent="0.3"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</row>
    <row r="135" spans="2:29" s="12" customFormat="1" x14ac:dyDescent="0.3"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79"/>
    </row>
    <row r="136" spans="2:29" s="12" customFormat="1" x14ac:dyDescent="0.3"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</row>
    <row r="137" spans="2:29" s="12" customFormat="1" x14ac:dyDescent="0.3"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</row>
    <row r="138" spans="2:29" s="12" customFormat="1" x14ac:dyDescent="0.3"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</row>
    <row r="139" spans="2:29" s="12" customFormat="1" x14ac:dyDescent="0.3"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</row>
    <row r="140" spans="2:29" s="12" customFormat="1" x14ac:dyDescent="0.3"/>
    <row r="141" spans="2:29" s="12" customFormat="1" x14ac:dyDescent="0.3"/>
    <row r="142" spans="2:29" s="81" customFormat="1" ht="25.5" customHeight="1" x14ac:dyDescent="0.3">
      <c r="B142" s="82" t="s">
        <v>3</v>
      </c>
    </row>
    <row r="143" spans="2:29" s="12" customFormat="1" x14ac:dyDescent="0.3"/>
    <row r="144" spans="2:29" s="12" customFormat="1" x14ac:dyDescent="0.3"/>
    <row r="145" spans="2:28" s="12" customFormat="1" x14ac:dyDescent="0.3"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</row>
    <row r="146" spans="2:28" s="12" customFormat="1" x14ac:dyDescent="0.3"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</row>
    <row r="147" spans="2:28" s="12" customFormat="1" x14ac:dyDescent="0.3"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</row>
    <row r="148" spans="2:28" s="12" customFormat="1" x14ac:dyDescent="0.3"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</row>
    <row r="149" spans="2:28" s="12" customFormat="1" x14ac:dyDescent="0.3"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</row>
    <row r="150" spans="2:28" s="12" customFormat="1" x14ac:dyDescent="0.3"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</row>
    <row r="151" spans="2:28" s="12" customFormat="1" x14ac:dyDescent="0.3"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</row>
    <row r="152" spans="2:28" s="12" customFormat="1" x14ac:dyDescent="0.3"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</row>
    <row r="153" spans="2:28" s="12" customFormat="1" x14ac:dyDescent="0.3"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</row>
    <row r="154" spans="2:28" s="12" customFormat="1" x14ac:dyDescent="0.3"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</row>
    <row r="155" spans="2:28" s="12" customFormat="1" x14ac:dyDescent="0.3"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</row>
    <row r="156" spans="2:28" s="12" customFormat="1" x14ac:dyDescent="0.3"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</row>
    <row r="157" spans="2:28" s="12" customFormat="1" x14ac:dyDescent="0.3"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  <c r="AA157" s="79"/>
      <c r="AB157" s="79"/>
    </row>
    <row r="158" spans="2:28" s="12" customFormat="1" x14ac:dyDescent="0.3"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</row>
    <row r="159" spans="2:28" s="12" customFormat="1" x14ac:dyDescent="0.3"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</row>
    <row r="160" spans="2:28" s="12" customFormat="1" x14ac:dyDescent="0.3"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</row>
    <row r="161" spans="2:28" s="12" customFormat="1" x14ac:dyDescent="0.3"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</row>
    <row r="162" spans="2:28" s="12" customFormat="1" x14ac:dyDescent="0.3"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  <c r="AA162" s="79"/>
      <c r="AB162" s="79"/>
    </row>
    <row r="163" spans="2:28" s="12" customFormat="1" x14ac:dyDescent="0.3"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</row>
    <row r="164" spans="2:28" s="12" customFormat="1" x14ac:dyDescent="0.3"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  <c r="AA164" s="79"/>
      <c r="AB164" s="79"/>
    </row>
    <row r="165" spans="2:28" s="12" customFormat="1" x14ac:dyDescent="0.3"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</row>
    <row r="166" spans="2:28" s="12" customFormat="1" x14ac:dyDescent="0.3"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  <c r="AA166" s="79"/>
      <c r="AB166" s="79"/>
    </row>
    <row r="167" spans="2:28" s="12" customFormat="1" x14ac:dyDescent="0.3"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</row>
    <row r="168" spans="2:28" s="12" customFormat="1" x14ac:dyDescent="0.3"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</row>
    <row r="169" spans="2:28" s="12" customFormat="1" x14ac:dyDescent="0.3"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</row>
    <row r="170" spans="2:28" s="12" customFormat="1" x14ac:dyDescent="0.3"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</row>
    <row r="171" spans="2:28" s="12" customFormat="1" x14ac:dyDescent="0.3"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</row>
    <row r="172" spans="2:28" s="12" customFormat="1" x14ac:dyDescent="0.3"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  <c r="AA172" s="79"/>
      <c r="AB172" s="79"/>
    </row>
    <row r="173" spans="2:28" s="12" customFormat="1" x14ac:dyDescent="0.3"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</row>
    <row r="174" spans="2:28" s="12" customFormat="1" x14ac:dyDescent="0.3"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</row>
    <row r="175" spans="2:28" s="12" customFormat="1" x14ac:dyDescent="0.3"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79"/>
    </row>
    <row r="176" spans="2:28" s="12" customFormat="1" x14ac:dyDescent="0.3"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</row>
    <row r="177" spans="2:28" s="12" customFormat="1" x14ac:dyDescent="0.3"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</row>
    <row r="178" spans="2:28" s="12" customFormat="1" x14ac:dyDescent="0.3"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</row>
    <row r="179" spans="2:28" s="12" customFormat="1" x14ac:dyDescent="0.3"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79"/>
    </row>
    <row r="180" spans="2:28" s="12" customFormat="1" x14ac:dyDescent="0.3"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</row>
    <row r="181" spans="2:28" s="12" customFormat="1" x14ac:dyDescent="0.3"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</row>
    <row r="182" spans="2:28" s="12" customFormat="1" x14ac:dyDescent="0.3"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</row>
    <row r="183" spans="2:28" s="12" customFormat="1" x14ac:dyDescent="0.3"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</row>
    <row r="184" spans="2:28" s="12" customFormat="1" x14ac:dyDescent="0.3"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</row>
    <row r="185" spans="2:28" s="12" customFormat="1" x14ac:dyDescent="0.3"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</row>
    <row r="186" spans="2:28" s="12" customFormat="1" x14ac:dyDescent="0.3"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79"/>
    </row>
    <row r="187" spans="2:28" s="12" customFormat="1" x14ac:dyDescent="0.3"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  <c r="AA187" s="79"/>
      <c r="AB187" s="79"/>
    </row>
    <row r="188" spans="2:28" s="12" customFormat="1" x14ac:dyDescent="0.3">
      <c r="B188" s="79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</row>
    <row r="189" spans="2:28" s="12" customFormat="1" x14ac:dyDescent="0.3"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  <c r="AA189" s="79"/>
      <c r="AB189" s="79"/>
    </row>
    <row r="190" spans="2:28" s="12" customFormat="1" x14ac:dyDescent="0.3"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  <c r="AA190" s="79"/>
      <c r="AB190" s="79"/>
    </row>
    <row r="191" spans="2:28" s="12" customFormat="1" x14ac:dyDescent="0.3"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  <c r="AA191" s="79"/>
      <c r="AB191" s="79"/>
    </row>
    <row r="192" spans="2:28" s="12" customFormat="1" x14ac:dyDescent="0.3"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</row>
    <row r="193" spans="2:28" s="12" customFormat="1" x14ac:dyDescent="0.3"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</row>
    <row r="194" spans="2:28" s="12" customFormat="1" x14ac:dyDescent="0.3"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</row>
    <row r="195" spans="2:28" s="12" customFormat="1" x14ac:dyDescent="0.3"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  <c r="AA195" s="79"/>
      <c r="AB195" s="79"/>
    </row>
    <row r="196" spans="2:28" s="12" customFormat="1" ht="20.25" customHeight="1" x14ac:dyDescent="0.3"/>
    <row r="197" spans="2:28" s="12" customFormat="1" x14ac:dyDescent="0.3">
      <c r="B197" s="79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  <c r="AA197" s="79"/>
      <c r="AB197" s="79"/>
    </row>
    <row r="198" spans="2:28" s="12" customFormat="1" x14ac:dyDescent="0.3"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</row>
    <row r="199" spans="2:28" s="12" customFormat="1" x14ac:dyDescent="0.3"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</row>
    <row r="200" spans="2:28" s="12" customFormat="1" x14ac:dyDescent="0.3"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</row>
    <row r="201" spans="2:28" s="12" customFormat="1" x14ac:dyDescent="0.3"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</row>
    <row r="202" spans="2:28" s="12" customFormat="1" x14ac:dyDescent="0.3"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</row>
    <row r="203" spans="2:28" s="12" customFormat="1" x14ac:dyDescent="0.3"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</row>
    <row r="204" spans="2:28" s="12" customFormat="1" x14ac:dyDescent="0.3"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79"/>
    </row>
    <row r="205" spans="2:28" s="12" customFormat="1" x14ac:dyDescent="0.3"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79"/>
    </row>
    <row r="206" spans="2:28" s="12" customFormat="1" x14ac:dyDescent="0.3"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79"/>
    </row>
    <row r="207" spans="2:28" s="12" customFormat="1" x14ac:dyDescent="0.3"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79"/>
    </row>
    <row r="208" spans="2:28" s="12" customFormat="1" x14ac:dyDescent="0.3"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  <c r="AA208" s="79"/>
      <c r="AB208" s="79"/>
    </row>
    <row r="209" spans="2:28" s="12" customFormat="1" x14ac:dyDescent="0.3"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</row>
    <row r="210" spans="2:28" s="12" customFormat="1" x14ac:dyDescent="0.3"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79"/>
    </row>
    <row r="211" spans="2:28" s="12" customFormat="1" x14ac:dyDescent="0.3"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</row>
    <row r="212" spans="2:28" s="12" customFormat="1" x14ac:dyDescent="0.3"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</row>
    <row r="213" spans="2:28" s="12" customFormat="1" x14ac:dyDescent="0.3"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79"/>
    </row>
    <row r="214" spans="2:28" s="12" customFormat="1" x14ac:dyDescent="0.3"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</row>
    <row r="215" spans="2:28" s="12" customFormat="1" x14ac:dyDescent="0.3"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</row>
    <row r="216" spans="2:28" s="12" customFormat="1" x14ac:dyDescent="0.3"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</row>
    <row r="217" spans="2:28" s="12" customFormat="1" x14ac:dyDescent="0.3"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</row>
    <row r="218" spans="2:28" s="12" customFormat="1" x14ac:dyDescent="0.3"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</row>
    <row r="219" spans="2:28" s="12" customFormat="1" x14ac:dyDescent="0.3"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</row>
    <row r="220" spans="2:28" s="12" customFormat="1" x14ac:dyDescent="0.3"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</row>
    <row r="221" spans="2:28" s="12" customFormat="1" x14ac:dyDescent="0.3"/>
    <row r="222" spans="2:28" s="12" customFormat="1" x14ac:dyDescent="0.3"/>
    <row r="223" spans="2:28" s="12" customFormat="1" x14ac:dyDescent="0.3"/>
    <row r="224" spans="2:28" s="12" customFormat="1" hidden="1" x14ac:dyDescent="0.3"/>
    <row r="225" s="12" customFormat="1" hidden="1" x14ac:dyDescent="0.3"/>
    <row r="226" s="12" customFormat="1" hidden="1" x14ac:dyDescent="0.3"/>
    <row r="227" s="12" customFormat="1" hidden="1" x14ac:dyDescent="0.3"/>
    <row r="228" s="12" customFormat="1" hidden="1" x14ac:dyDescent="0.3"/>
    <row r="229" s="12" customFormat="1" hidden="1" x14ac:dyDescent="0.3"/>
    <row r="230" s="12" customFormat="1" hidden="1" x14ac:dyDescent="0.3"/>
    <row r="231" s="12" customFormat="1" hidden="1" x14ac:dyDescent="0.3"/>
    <row r="232" s="12" customFormat="1" hidden="1" x14ac:dyDescent="0.3"/>
    <row r="233" s="12" customFormat="1" hidden="1" x14ac:dyDescent="0.3"/>
    <row r="234" s="12" customFormat="1" hidden="1" x14ac:dyDescent="0.3"/>
    <row r="235" s="12" customFormat="1" hidden="1" x14ac:dyDescent="0.3"/>
    <row r="236" s="12" customFormat="1" hidden="1" x14ac:dyDescent="0.3"/>
    <row r="237" s="12" customFormat="1" hidden="1" x14ac:dyDescent="0.3"/>
    <row r="238" s="12" customFormat="1" hidden="1" x14ac:dyDescent="0.3"/>
    <row r="239" s="12" customFormat="1" hidden="1" x14ac:dyDescent="0.3"/>
    <row r="240" s="12" customFormat="1" hidden="1" x14ac:dyDescent="0.3"/>
    <row r="241" s="12" customFormat="1" hidden="1" x14ac:dyDescent="0.3"/>
    <row r="242" s="12" customFormat="1" hidden="1" x14ac:dyDescent="0.3"/>
    <row r="243" s="12" customFormat="1" hidden="1" x14ac:dyDescent="0.3"/>
    <row r="244" s="12" customFormat="1" hidden="1" x14ac:dyDescent="0.3"/>
    <row r="245" s="12" customFormat="1" hidden="1" x14ac:dyDescent="0.3"/>
    <row r="246" s="12" customFormat="1" hidden="1" x14ac:dyDescent="0.3"/>
    <row r="247" s="12" customFormat="1" hidden="1" x14ac:dyDescent="0.3"/>
    <row r="248" s="12" customFormat="1" hidden="1" x14ac:dyDescent="0.3"/>
    <row r="249" s="12" customFormat="1" hidden="1" x14ac:dyDescent="0.3"/>
    <row r="250" s="12" customFormat="1" hidden="1" x14ac:dyDescent="0.3"/>
    <row r="251" s="12" customFormat="1" hidden="1" x14ac:dyDescent="0.3"/>
    <row r="252" s="12" customFormat="1" hidden="1" x14ac:dyDescent="0.3"/>
    <row r="253" s="12" customFormat="1" hidden="1" x14ac:dyDescent="0.3"/>
    <row r="254" s="12" customFormat="1" hidden="1" x14ac:dyDescent="0.3"/>
    <row r="255" s="12" customFormat="1" hidden="1" x14ac:dyDescent="0.3"/>
    <row r="256" s="12" customFormat="1" hidden="1" x14ac:dyDescent="0.3"/>
    <row r="257" s="12" customFormat="1" hidden="1" x14ac:dyDescent="0.3"/>
    <row r="258" s="12" customFormat="1" hidden="1" x14ac:dyDescent="0.3"/>
    <row r="259" s="12" customFormat="1" hidden="1" x14ac:dyDescent="0.3"/>
    <row r="260" s="12" customFormat="1" hidden="1" x14ac:dyDescent="0.3"/>
    <row r="261" s="12" customFormat="1" hidden="1" x14ac:dyDescent="0.3"/>
    <row r="262" s="12" customFormat="1" hidden="1" x14ac:dyDescent="0.3"/>
    <row r="263" s="12" customFormat="1" hidden="1" x14ac:dyDescent="0.3"/>
    <row r="264" s="12" customFormat="1" hidden="1" x14ac:dyDescent="0.3"/>
    <row r="265" s="12" customFormat="1" hidden="1" x14ac:dyDescent="0.3"/>
    <row r="266" s="12" customFormat="1" hidden="1" x14ac:dyDescent="0.3"/>
    <row r="267" s="12" customFormat="1" hidden="1" x14ac:dyDescent="0.3"/>
    <row r="268" s="12" customFormat="1" hidden="1" x14ac:dyDescent="0.3"/>
    <row r="269" s="12" customFormat="1" hidden="1" x14ac:dyDescent="0.3"/>
    <row r="270" s="12" customFormat="1" hidden="1" x14ac:dyDescent="0.3"/>
    <row r="271" s="12" customFormat="1" hidden="1" x14ac:dyDescent="0.3"/>
    <row r="272" s="12" customFormat="1" hidden="1" x14ac:dyDescent="0.3"/>
    <row r="273" s="12" customFormat="1" hidden="1" x14ac:dyDescent="0.3"/>
    <row r="274" s="12" customFormat="1" hidden="1" x14ac:dyDescent="0.3"/>
    <row r="275" s="12" customFormat="1" hidden="1" x14ac:dyDescent="0.3"/>
    <row r="276" s="12" customFormat="1" hidden="1" x14ac:dyDescent="0.3"/>
    <row r="277" s="12" customFormat="1" hidden="1" x14ac:dyDescent="0.3"/>
    <row r="278" s="12" customFormat="1" hidden="1" x14ac:dyDescent="0.3"/>
    <row r="279" s="12" customFormat="1" hidden="1" x14ac:dyDescent="0.3"/>
    <row r="280" s="12" customFormat="1" hidden="1" x14ac:dyDescent="0.3"/>
    <row r="281" s="12" customFormat="1" hidden="1" x14ac:dyDescent="0.3"/>
    <row r="282" s="12" customFormat="1" hidden="1" x14ac:dyDescent="0.3"/>
    <row r="283" s="12" customFormat="1" hidden="1" x14ac:dyDescent="0.3"/>
    <row r="284" s="12" customFormat="1" hidden="1" x14ac:dyDescent="0.3"/>
    <row r="285" s="12" customFormat="1" hidden="1" x14ac:dyDescent="0.3"/>
    <row r="286" s="12" customFormat="1" hidden="1" x14ac:dyDescent="0.3"/>
    <row r="287" s="12" customFormat="1" hidden="1" x14ac:dyDescent="0.3"/>
    <row r="288" s="12" customFormat="1" hidden="1" x14ac:dyDescent="0.3"/>
    <row r="289" s="12" customFormat="1" hidden="1" x14ac:dyDescent="0.3"/>
    <row r="290" s="12" customFormat="1" hidden="1" x14ac:dyDescent="0.3"/>
    <row r="291" s="12" customFormat="1" hidden="1" x14ac:dyDescent="0.3"/>
    <row r="292" s="12" customFormat="1" hidden="1" x14ac:dyDescent="0.3"/>
    <row r="293" s="12" customFormat="1" hidden="1" x14ac:dyDescent="0.3"/>
    <row r="294" s="12" customFormat="1" hidden="1" x14ac:dyDescent="0.3"/>
    <row r="295" s="12" customFormat="1" hidden="1" x14ac:dyDescent="0.3"/>
    <row r="296" s="12" customFormat="1" hidden="1" x14ac:dyDescent="0.3"/>
    <row r="297" s="12" customFormat="1" hidden="1" x14ac:dyDescent="0.3"/>
    <row r="298" s="12" customFormat="1" hidden="1" x14ac:dyDescent="0.3"/>
    <row r="299" s="12" customFormat="1" hidden="1" x14ac:dyDescent="0.3"/>
    <row r="300" s="12" customFormat="1" hidden="1" x14ac:dyDescent="0.3"/>
    <row r="301" s="12" customFormat="1" hidden="1" x14ac:dyDescent="0.3"/>
    <row r="302" s="12" customFormat="1" hidden="1" x14ac:dyDescent="0.3"/>
    <row r="303" s="12" customFormat="1" hidden="1" x14ac:dyDescent="0.3"/>
    <row r="304" s="12" customFormat="1" hidden="1" x14ac:dyDescent="0.3"/>
    <row r="305" s="12" customFormat="1" hidden="1" x14ac:dyDescent="0.3"/>
    <row r="306" s="12" customFormat="1" hidden="1" x14ac:dyDescent="0.3"/>
    <row r="307" s="12" customFormat="1" hidden="1" x14ac:dyDescent="0.3"/>
    <row r="308" s="12" customFormat="1" hidden="1" x14ac:dyDescent="0.3"/>
    <row r="309" s="12" customFormat="1" hidden="1" x14ac:dyDescent="0.3"/>
    <row r="310" s="12" customFormat="1" hidden="1" x14ac:dyDescent="0.3"/>
    <row r="311" s="12" customFormat="1" hidden="1" x14ac:dyDescent="0.3"/>
    <row r="312" s="12" customFormat="1" hidden="1" x14ac:dyDescent="0.3"/>
    <row r="313" s="12" customFormat="1" hidden="1" x14ac:dyDescent="0.3"/>
    <row r="314" s="12" customFormat="1" hidden="1" x14ac:dyDescent="0.3"/>
    <row r="315" s="12" customFormat="1" hidden="1" x14ac:dyDescent="0.3"/>
    <row r="316" s="12" customFormat="1" hidden="1" x14ac:dyDescent="0.3"/>
    <row r="317" s="12" customFormat="1" hidden="1" x14ac:dyDescent="0.3"/>
    <row r="318" s="12" customFormat="1" hidden="1" x14ac:dyDescent="0.3"/>
    <row r="319" s="12" customFormat="1" hidden="1" x14ac:dyDescent="0.3"/>
    <row r="320" s="12" customFormat="1" hidden="1" x14ac:dyDescent="0.3"/>
    <row r="321" s="12" customFormat="1" hidden="1" x14ac:dyDescent="0.3"/>
    <row r="322" s="12" customFormat="1" hidden="1" x14ac:dyDescent="0.3"/>
    <row r="323" s="12" customFormat="1" hidden="1" x14ac:dyDescent="0.3"/>
    <row r="324" s="12" customFormat="1" hidden="1" x14ac:dyDescent="0.3"/>
    <row r="325" s="12" customFormat="1" hidden="1" x14ac:dyDescent="0.3"/>
    <row r="326" s="12" customFormat="1" hidden="1" x14ac:dyDescent="0.3"/>
    <row r="327" s="12" customFormat="1" hidden="1" x14ac:dyDescent="0.3"/>
    <row r="328" s="12" customFormat="1" hidden="1" x14ac:dyDescent="0.3"/>
    <row r="329" s="12" customFormat="1" hidden="1" x14ac:dyDescent="0.3"/>
    <row r="330" s="12" customFormat="1" hidden="1" x14ac:dyDescent="0.3"/>
    <row r="331" s="12" customFormat="1" hidden="1" x14ac:dyDescent="0.3"/>
    <row r="332" s="12" customFormat="1" hidden="1" x14ac:dyDescent="0.3"/>
    <row r="333" s="12" customFormat="1" hidden="1" x14ac:dyDescent="0.3"/>
    <row r="334" s="12" customFormat="1" hidden="1" x14ac:dyDescent="0.3"/>
    <row r="335" s="12" customFormat="1" hidden="1" x14ac:dyDescent="0.3"/>
    <row r="336" s="12" customFormat="1" hidden="1" x14ac:dyDescent="0.3"/>
    <row r="337" s="12" customFormat="1" hidden="1" x14ac:dyDescent="0.3"/>
    <row r="338" s="12" customFormat="1" hidden="1" x14ac:dyDescent="0.3"/>
    <row r="339" s="12" customFormat="1" hidden="1" x14ac:dyDescent="0.3"/>
    <row r="340" s="12" customFormat="1" hidden="1" x14ac:dyDescent="0.3"/>
    <row r="341" s="12" customFormat="1" hidden="1" x14ac:dyDescent="0.3"/>
    <row r="342" s="12" customFormat="1" hidden="1" x14ac:dyDescent="0.3"/>
    <row r="343" s="12" customFormat="1" hidden="1" x14ac:dyDescent="0.3"/>
    <row r="344" s="12" customFormat="1" hidden="1" x14ac:dyDescent="0.3"/>
    <row r="345" s="12" customFormat="1" hidden="1" x14ac:dyDescent="0.3"/>
    <row r="346" s="12" customFormat="1" hidden="1" x14ac:dyDescent="0.3"/>
    <row r="347" s="12" customFormat="1" hidden="1" x14ac:dyDescent="0.3"/>
    <row r="348" s="12" customFormat="1" hidden="1" x14ac:dyDescent="0.3"/>
    <row r="349" s="12" customFormat="1" hidden="1" x14ac:dyDescent="0.3"/>
    <row r="350" s="12" customFormat="1" hidden="1" x14ac:dyDescent="0.3"/>
    <row r="351" s="12" customFormat="1" hidden="1" x14ac:dyDescent="0.3"/>
    <row r="352" s="12" customFormat="1" hidden="1" x14ac:dyDescent="0.3"/>
    <row r="353" s="12" customFormat="1" hidden="1" x14ac:dyDescent="0.3"/>
    <row r="354" s="12" customFormat="1" hidden="1" x14ac:dyDescent="0.3"/>
    <row r="355" s="12" customFormat="1" hidden="1" x14ac:dyDescent="0.3"/>
    <row r="356" s="12" customFormat="1" hidden="1" x14ac:dyDescent="0.3"/>
    <row r="357" s="12" customFormat="1" hidden="1" x14ac:dyDescent="0.3"/>
    <row r="358" s="12" customFormat="1" hidden="1" x14ac:dyDescent="0.3"/>
    <row r="359" s="12" customFormat="1" hidden="1" x14ac:dyDescent="0.3"/>
    <row r="360" s="12" customFormat="1" hidden="1" x14ac:dyDescent="0.3"/>
    <row r="361" s="12" customFormat="1" hidden="1" x14ac:dyDescent="0.3"/>
    <row r="362" s="12" customFormat="1" hidden="1" x14ac:dyDescent="0.3"/>
    <row r="363" s="12" customFormat="1" hidden="1" x14ac:dyDescent="0.3"/>
    <row r="364" s="12" customFormat="1" hidden="1" x14ac:dyDescent="0.3"/>
    <row r="365" s="12" customFormat="1" hidden="1" x14ac:dyDescent="0.3"/>
    <row r="366" s="12" customFormat="1" hidden="1" x14ac:dyDescent="0.3"/>
    <row r="367" s="12" customFormat="1" hidden="1" x14ac:dyDescent="0.3"/>
    <row r="368" s="12" customFormat="1" hidden="1" x14ac:dyDescent="0.3"/>
    <row r="369" s="12" customFormat="1" hidden="1" x14ac:dyDescent="0.3"/>
    <row r="370" s="12" customFormat="1" hidden="1" x14ac:dyDescent="0.3"/>
    <row r="371" s="12" customFormat="1" hidden="1" x14ac:dyDescent="0.3"/>
    <row r="372" s="12" customFormat="1" hidden="1" x14ac:dyDescent="0.3"/>
    <row r="373" s="12" customFormat="1" hidden="1" x14ac:dyDescent="0.3"/>
    <row r="374" s="12" customFormat="1" hidden="1" x14ac:dyDescent="0.3"/>
    <row r="375" s="12" customFormat="1" hidden="1" x14ac:dyDescent="0.3"/>
    <row r="376" s="12" customFormat="1" hidden="1" x14ac:dyDescent="0.3"/>
    <row r="377" s="12" customFormat="1" hidden="1" x14ac:dyDescent="0.3"/>
    <row r="378" s="12" customFormat="1" hidden="1" x14ac:dyDescent="0.3"/>
    <row r="379" s="12" customFormat="1" hidden="1" x14ac:dyDescent="0.3"/>
    <row r="380" s="12" customFormat="1" hidden="1" x14ac:dyDescent="0.3"/>
    <row r="381" s="12" customFormat="1" hidden="1" x14ac:dyDescent="0.3"/>
    <row r="382" s="12" customFormat="1" hidden="1" x14ac:dyDescent="0.3"/>
    <row r="383" s="12" customFormat="1" hidden="1" x14ac:dyDescent="0.3"/>
    <row r="384" s="12" customFormat="1" hidden="1" x14ac:dyDescent="0.3"/>
    <row r="385" s="12" customFormat="1" hidden="1" x14ac:dyDescent="0.3"/>
    <row r="386" s="12" customFormat="1" hidden="1" x14ac:dyDescent="0.3"/>
    <row r="387" s="12" customFormat="1" hidden="1" x14ac:dyDescent="0.3"/>
    <row r="388" s="12" customFormat="1" hidden="1" x14ac:dyDescent="0.3"/>
    <row r="389" s="12" customFormat="1" hidden="1" x14ac:dyDescent="0.3"/>
    <row r="390" s="12" customFormat="1" hidden="1" x14ac:dyDescent="0.3"/>
    <row r="391" s="12" customFormat="1" hidden="1" x14ac:dyDescent="0.3"/>
    <row r="392" s="12" customFormat="1" hidden="1" x14ac:dyDescent="0.3"/>
    <row r="393" s="12" customFormat="1" hidden="1" x14ac:dyDescent="0.3"/>
    <row r="394" s="12" customFormat="1" hidden="1" x14ac:dyDescent="0.3"/>
    <row r="395" s="12" customFormat="1" hidden="1" x14ac:dyDescent="0.3"/>
    <row r="396" s="12" customFormat="1" hidden="1" x14ac:dyDescent="0.3"/>
    <row r="397" s="12" customFormat="1" hidden="1" x14ac:dyDescent="0.3"/>
    <row r="398" s="12" customFormat="1" hidden="1" x14ac:dyDescent="0.3"/>
    <row r="399" s="12" customFormat="1" hidden="1" x14ac:dyDescent="0.3"/>
    <row r="400" s="12" customFormat="1" hidden="1" x14ac:dyDescent="0.3"/>
    <row r="401" s="12" customFormat="1" hidden="1" x14ac:dyDescent="0.3"/>
    <row r="402" s="12" customFormat="1" hidden="1" x14ac:dyDescent="0.3"/>
    <row r="403" s="12" customFormat="1" hidden="1" x14ac:dyDescent="0.3"/>
    <row r="404" s="12" customFormat="1" hidden="1" x14ac:dyDescent="0.3"/>
    <row r="405" s="12" customFormat="1" hidden="1" x14ac:dyDescent="0.3"/>
    <row r="406" s="12" customFormat="1" hidden="1" x14ac:dyDescent="0.3"/>
    <row r="407" s="12" customFormat="1" hidden="1" x14ac:dyDescent="0.3"/>
    <row r="408" s="12" customFormat="1" hidden="1" x14ac:dyDescent="0.3"/>
    <row r="409" s="12" customFormat="1" hidden="1" x14ac:dyDescent="0.3"/>
    <row r="410" s="12" customFormat="1" hidden="1" x14ac:dyDescent="0.3"/>
    <row r="411" s="12" customFormat="1" hidden="1" x14ac:dyDescent="0.3"/>
    <row r="412" s="12" customFormat="1" hidden="1" x14ac:dyDescent="0.3"/>
    <row r="413" s="12" customFormat="1" hidden="1" x14ac:dyDescent="0.3"/>
    <row r="414" s="12" customFormat="1" hidden="1" x14ac:dyDescent="0.3"/>
    <row r="415" s="12" customFormat="1" hidden="1" x14ac:dyDescent="0.3"/>
    <row r="416" s="12" customFormat="1" hidden="1" x14ac:dyDescent="0.3"/>
    <row r="417" s="12" customFormat="1" hidden="1" x14ac:dyDescent="0.3"/>
    <row r="418" s="12" customFormat="1" hidden="1" x14ac:dyDescent="0.3"/>
    <row r="419" s="12" customFormat="1" hidden="1" x14ac:dyDescent="0.3"/>
    <row r="420" s="12" customFormat="1" hidden="1" x14ac:dyDescent="0.3"/>
    <row r="421" s="12" customFormat="1" hidden="1" x14ac:dyDescent="0.3"/>
    <row r="422" s="12" customFormat="1" hidden="1" x14ac:dyDescent="0.3"/>
    <row r="423" s="12" customFormat="1" hidden="1" x14ac:dyDescent="0.3"/>
    <row r="424" s="12" customFormat="1" hidden="1" x14ac:dyDescent="0.3"/>
    <row r="425" s="12" customFormat="1" hidden="1" x14ac:dyDescent="0.3"/>
    <row r="426" s="12" customFormat="1" hidden="1" x14ac:dyDescent="0.3"/>
    <row r="427" s="12" customFormat="1" hidden="1" x14ac:dyDescent="0.3"/>
    <row r="428" s="12" customFormat="1" hidden="1" x14ac:dyDescent="0.3"/>
    <row r="429" s="12" customFormat="1" hidden="1" x14ac:dyDescent="0.3"/>
    <row r="430" s="12" customFormat="1" hidden="1" x14ac:dyDescent="0.3"/>
    <row r="431" s="12" customFormat="1" hidden="1" x14ac:dyDescent="0.3"/>
    <row r="432" s="12" customFormat="1" hidden="1" x14ac:dyDescent="0.3"/>
    <row r="433" s="12" customFormat="1" hidden="1" x14ac:dyDescent="0.3"/>
    <row r="434" s="12" customFormat="1" hidden="1" x14ac:dyDescent="0.3"/>
    <row r="435" s="12" customFormat="1" hidden="1" x14ac:dyDescent="0.3"/>
    <row r="436" s="12" customFormat="1" hidden="1" x14ac:dyDescent="0.3"/>
    <row r="437" s="12" customFormat="1" hidden="1" x14ac:dyDescent="0.3"/>
    <row r="438" s="12" customFormat="1" hidden="1" x14ac:dyDescent="0.3"/>
    <row r="439" s="12" customFormat="1" hidden="1" x14ac:dyDescent="0.3"/>
    <row r="440" s="12" customFormat="1" hidden="1" x14ac:dyDescent="0.3"/>
    <row r="441" s="12" customFormat="1" hidden="1" x14ac:dyDescent="0.3"/>
    <row r="442" s="12" customFormat="1" hidden="1" x14ac:dyDescent="0.3"/>
    <row r="443" s="12" customFormat="1" hidden="1" x14ac:dyDescent="0.3"/>
    <row r="444" s="12" customFormat="1" hidden="1" x14ac:dyDescent="0.3"/>
    <row r="445" s="12" customFormat="1" hidden="1" x14ac:dyDescent="0.3"/>
    <row r="446" s="12" customFormat="1" hidden="1" x14ac:dyDescent="0.3"/>
    <row r="447" s="12" customFormat="1" hidden="1" x14ac:dyDescent="0.3"/>
    <row r="448" s="12" customFormat="1" hidden="1" x14ac:dyDescent="0.3"/>
    <row r="449" s="12" customFormat="1" hidden="1" x14ac:dyDescent="0.3"/>
    <row r="450" s="12" customFormat="1" hidden="1" x14ac:dyDescent="0.3"/>
    <row r="451" s="12" customFormat="1" hidden="1" x14ac:dyDescent="0.3"/>
    <row r="452" s="12" customFormat="1" hidden="1" x14ac:dyDescent="0.3"/>
    <row r="453" s="12" customFormat="1" hidden="1" x14ac:dyDescent="0.3"/>
    <row r="454" ht="14.4" customHeight="1" x14ac:dyDescent="0.3"/>
    <row r="455" ht="14.4" customHeight="1" x14ac:dyDescent="0.3"/>
    <row r="456" ht="14.4" customHeight="1" x14ac:dyDescent="0.3"/>
  </sheetData>
  <mergeCells count="3">
    <mergeCell ref="A1:X1"/>
    <mergeCell ref="Y1:AA1"/>
    <mergeCell ref="A2:AC2"/>
  </mergeCells>
  <hyperlinks>
    <hyperlink ref="Y1:AA1" location="'Front Page'!A1" display="Return to Contents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S93"/>
  <sheetViews>
    <sheetView showGridLines="0" zoomScaleNormal="100" workbookViewId="0">
      <selection activeCell="L1" sqref="L1:M1"/>
    </sheetView>
  </sheetViews>
  <sheetFormatPr defaultColWidth="0" defaultRowHeight="14.4" zeroHeight="1" x14ac:dyDescent="0.3"/>
  <cols>
    <col min="1" max="1" width="9.109375" style="33" customWidth="1"/>
    <col min="2" max="2" width="30" style="3" customWidth="1"/>
    <col min="3" max="3" width="17.5546875" style="3" customWidth="1"/>
    <col min="4" max="4" width="16.44140625" style="3" customWidth="1"/>
    <col min="5" max="5" width="10.88671875" style="33" customWidth="1"/>
    <col min="6" max="6" width="10.88671875" style="40" customWidth="1"/>
    <col min="7" max="12" width="10.88671875" style="33" customWidth="1"/>
    <col min="13" max="14" width="9.109375" style="33" customWidth="1"/>
    <col min="15" max="19" width="0" style="33" hidden="1" customWidth="1"/>
    <col min="20" max="16384" width="9.109375" style="33" hidden="1"/>
  </cols>
  <sheetData>
    <row r="1" spans="2:13" s="10" customFormat="1" ht="29.4" customHeight="1" x14ac:dyDescent="0.3">
      <c r="B1" s="384" t="s">
        <v>88</v>
      </c>
      <c r="C1" s="384"/>
      <c r="D1" s="85"/>
      <c r="F1" s="86"/>
      <c r="L1" s="356" t="s">
        <v>95</v>
      </c>
      <c r="M1" s="356"/>
    </row>
    <row r="2" spans="2:13" x14ac:dyDescent="0.3">
      <c r="B2" s="4"/>
      <c r="C2" s="4"/>
      <c r="D2" s="4"/>
    </row>
    <row r="3" spans="2:13" x14ac:dyDescent="0.3">
      <c r="B3" s="407" t="s">
        <v>153</v>
      </c>
      <c r="C3" s="4"/>
      <c r="D3" s="4"/>
      <c r="F3" s="405" t="s">
        <v>169</v>
      </c>
      <c r="G3" s="406"/>
      <c r="H3" s="406"/>
      <c r="I3" s="406"/>
      <c r="J3" s="406"/>
    </row>
    <row r="4" spans="2:13" x14ac:dyDescent="0.3">
      <c r="B4" s="407"/>
      <c r="C4" s="4"/>
      <c r="D4" s="4"/>
      <c r="F4" s="406"/>
      <c r="G4" s="406"/>
      <c r="H4" s="406"/>
      <c r="I4" s="406"/>
      <c r="J4" s="406"/>
    </row>
    <row r="5" spans="2:13" ht="15" thickBot="1" x14ac:dyDescent="0.35"/>
    <row r="6" spans="2:13" s="8" customFormat="1" ht="25.95" customHeight="1" thickTop="1" thickBot="1" x14ac:dyDescent="0.35">
      <c r="B6" s="410"/>
      <c r="C6" s="411"/>
      <c r="D6" s="412"/>
      <c r="E6" s="413" t="s">
        <v>191</v>
      </c>
      <c r="F6" s="414"/>
      <c r="G6" s="413" t="s">
        <v>192</v>
      </c>
      <c r="H6" s="414"/>
      <c r="I6" s="413" t="s">
        <v>193</v>
      </c>
      <c r="J6" s="414"/>
      <c r="K6" s="413" t="s">
        <v>194</v>
      </c>
      <c r="L6" s="414"/>
    </row>
    <row r="7" spans="2:13" ht="10.5" customHeight="1" thickTop="1" x14ac:dyDescent="0.3">
      <c r="B7" s="389" t="s">
        <v>45</v>
      </c>
      <c r="C7" s="415" t="s">
        <v>9</v>
      </c>
      <c r="D7" s="416"/>
      <c r="E7" s="398">
        <f ca="1">Data!G24</f>
        <v>0</v>
      </c>
      <c r="F7" s="399"/>
      <c r="G7" s="398">
        <f ca="1">Data!G74</f>
        <v>0</v>
      </c>
      <c r="H7" s="399"/>
      <c r="I7" s="398">
        <f ca="1">Data!G124</f>
        <v>0</v>
      </c>
      <c r="J7" s="399"/>
      <c r="K7" s="368" t="str">
        <f ca="1">Data!G174</f>
        <v>No data</v>
      </c>
      <c r="L7" s="369"/>
    </row>
    <row r="8" spans="2:13" ht="10.5" customHeight="1" x14ac:dyDescent="0.3">
      <c r="B8" s="390"/>
      <c r="C8" s="417"/>
      <c r="D8" s="418"/>
      <c r="E8" s="400"/>
      <c r="F8" s="401"/>
      <c r="G8" s="400"/>
      <c r="H8" s="401"/>
      <c r="I8" s="400"/>
      <c r="J8" s="401"/>
      <c r="K8" s="370"/>
      <c r="L8" s="371"/>
    </row>
    <row r="9" spans="2:13" ht="10.5" customHeight="1" thickBot="1" x14ac:dyDescent="0.35">
      <c r="B9" s="390"/>
      <c r="C9" s="417"/>
      <c r="D9" s="418"/>
      <c r="E9" s="402"/>
      <c r="F9" s="403"/>
      <c r="G9" s="402"/>
      <c r="H9" s="403"/>
      <c r="I9" s="402"/>
      <c r="J9" s="403"/>
      <c r="K9" s="372"/>
      <c r="L9" s="373"/>
    </row>
    <row r="10" spans="2:13" ht="10.5" customHeight="1" thickTop="1" x14ac:dyDescent="0.3">
      <c r="B10" s="390"/>
      <c r="C10" s="415" t="s">
        <v>10</v>
      </c>
      <c r="D10" s="416"/>
      <c r="E10" s="398">
        <f ca="1">Data!H24</f>
        <v>0</v>
      </c>
      <c r="F10" s="419"/>
      <c r="G10" s="398">
        <f ca="1">Data!H74</f>
        <v>0</v>
      </c>
      <c r="H10" s="399"/>
      <c r="I10" s="398">
        <f ca="1">Data!H124</f>
        <v>0</v>
      </c>
      <c r="J10" s="399"/>
      <c r="K10" s="368" t="str">
        <f ca="1">Data!H174</f>
        <v>No data</v>
      </c>
      <c r="L10" s="369"/>
    </row>
    <row r="11" spans="2:13" ht="10.5" customHeight="1" x14ac:dyDescent="0.3">
      <c r="B11" s="390"/>
      <c r="C11" s="417"/>
      <c r="D11" s="418"/>
      <c r="E11" s="420"/>
      <c r="F11" s="421"/>
      <c r="G11" s="400"/>
      <c r="H11" s="401"/>
      <c r="I11" s="400"/>
      <c r="J11" s="401"/>
      <c r="K11" s="370"/>
      <c r="L11" s="371"/>
    </row>
    <row r="12" spans="2:13" ht="10.5" customHeight="1" thickBot="1" x14ac:dyDescent="0.35">
      <c r="B12" s="404"/>
      <c r="C12" s="417"/>
      <c r="D12" s="418"/>
      <c r="E12" s="422"/>
      <c r="F12" s="423"/>
      <c r="G12" s="402"/>
      <c r="H12" s="403"/>
      <c r="I12" s="402"/>
      <c r="J12" s="403"/>
      <c r="K12" s="372"/>
      <c r="L12" s="373"/>
    </row>
    <row r="13" spans="2:13" ht="15" customHeight="1" thickTop="1" x14ac:dyDescent="0.3">
      <c r="B13" s="408" t="s">
        <v>168</v>
      </c>
      <c r="C13" s="389" t="s">
        <v>9</v>
      </c>
      <c r="D13" s="391" t="s">
        <v>34</v>
      </c>
      <c r="E13" s="393">
        <f ca="1">Data!J24</f>
        <v>0</v>
      </c>
      <c r="F13" s="381" t="str">
        <f ca="1">IFERROR(E13/E19,"(-%)")</f>
        <v>(-%)</v>
      </c>
      <c r="G13" s="380">
        <f ca="1">Data!J74</f>
        <v>0</v>
      </c>
      <c r="H13" s="381" t="str">
        <f ca="1">IFERROR(G13/G19,"(-%)")</f>
        <v>(-%)</v>
      </c>
      <c r="I13" s="380">
        <f ca="1">Data!J124</f>
        <v>9</v>
      </c>
      <c r="J13" s="381">
        <f ca="1">IFERROR(I13/I19,"(-%)")</f>
        <v>0.6</v>
      </c>
      <c r="K13" s="382" t="str">
        <f ca="1">Data!J174</f>
        <v>No data</v>
      </c>
      <c r="L13" s="383" t="str">
        <f ca="1">IFERROR(K13/K19,"(-%)")</f>
        <v>(-%)</v>
      </c>
    </row>
    <row r="14" spans="2:13" ht="15" customHeight="1" x14ac:dyDescent="0.3">
      <c r="B14" s="409"/>
      <c r="C14" s="390"/>
      <c r="D14" s="392"/>
      <c r="E14" s="394"/>
      <c r="F14" s="376"/>
      <c r="G14" s="374"/>
      <c r="H14" s="376"/>
      <c r="I14" s="374"/>
      <c r="J14" s="376"/>
      <c r="K14" s="377"/>
      <c r="L14" s="355"/>
    </row>
    <row r="15" spans="2:13" ht="15" customHeight="1" x14ac:dyDescent="0.3">
      <c r="B15" s="409"/>
      <c r="C15" s="390"/>
      <c r="D15" s="392" t="s">
        <v>35</v>
      </c>
      <c r="E15" s="394">
        <f ca="1">Data!K24</f>
        <v>0</v>
      </c>
      <c r="F15" s="376" t="str">
        <f ca="1">IFERROR(E15/E19,"(-%)")</f>
        <v>(-%)</v>
      </c>
      <c r="G15" s="374">
        <f ca="1">Data!K74</f>
        <v>0</v>
      </c>
      <c r="H15" s="376" t="str">
        <f ca="1">IFERROR(G15/G19,"(-%)")</f>
        <v>(-%)</v>
      </c>
      <c r="I15" s="374">
        <f ca="1">Data!K124</f>
        <v>6</v>
      </c>
      <c r="J15" s="376">
        <f ca="1">IFERROR(I15/I19,"(-%)")</f>
        <v>0.4</v>
      </c>
      <c r="K15" s="377" t="str">
        <f ca="1">Data!K174</f>
        <v>No data</v>
      </c>
      <c r="L15" s="355" t="str">
        <f ca="1">IFERROR(K15/K19,"(-%)")</f>
        <v>(-%)</v>
      </c>
    </row>
    <row r="16" spans="2:13" ht="15" customHeight="1" x14ac:dyDescent="0.3">
      <c r="B16" s="409"/>
      <c r="C16" s="390"/>
      <c r="D16" s="392"/>
      <c r="E16" s="394"/>
      <c r="F16" s="376"/>
      <c r="G16" s="374"/>
      <c r="H16" s="376"/>
      <c r="I16" s="374"/>
      <c r="J16" s="376"/>
      <c r="K16" s="377"/>
      <c r="L16" s="355"/>
    </row>
    <row r="17" spans="2:12" ht="15" customHeight="1" x14ac:dyDescent="0.3">
      <c r="B17" s="409"/>
      <c r="C17" s="390"/>
      <c r="D17" s="397" t="s">
        <v>36</v>
      </c>
      <c r="E17" s="394">
        <f ca="1">Data!L24</f>
        <v>0</v>
      </c>
      <c r="F17" s="376" t="str">
        <f ca="1">IFERROR(E17/E19,"(-%)")</f>
        <v>(-%)</v>
      </c>
      <c r="G17" s="374">
        <f ca="1">Data!L74</f>
        <v>0</v>
      </c>
      <c r="H17" s="376" t="str">
        <f ca="1">IFERROR(G17/G19,"(-%)")</f>
        <v>(-%)</v>
      </c>
      <c r="I17" s="374">
        <f ca="1">Data!L124</f>
        <v>0</v>
      </c>
      <c r="J17" s="376">
        <f ca="1">IFERROR(I17/I19,"(-%)")</f>
        <v>0</v>
      </c>
      <c r="K17" s="377" t="str">
        <f ca="1">Data!L174</f>
        <v>No data</v>
      </c>
      <c r="L17" s="355" t="str">
        <f ca="1">IFERROR(K17/K19,"(-%)")</f>
        <v>(-%)</v>
      </c>
    </row>
    <row r="18" spans="2:12" ht="15" customHeight="1" x14ac:dyDescent="0.3">
      <c r="B18" s="409"/>
      <c r="C18" s="390"/>
      <c r="D18" s="392"/>
      <c r="E18" s="394"/>
      <c r="F18" s="376"/>
      <c r="G18" s="374"/>
      <c r="H18" s="376"/>
      <c r="I18" s="374"/>
      <c r="J18" s="376"/>
      <c r="K18" s="377"/>
      <c r="L18" s="355"/>
    </row>
    <row r="19" spans="2:12" ht="26.25" customHeight="1" thickBot="1" x14ac:dyDescent="0.35">
      <c r="B19" s="409"/>
      <c r="C19" s="404"/>
      <c r="D19" s="73" t="s">
        <v>167</v>
      </c>
      <c r="E19" s="388">
        <f ca="1">Data!N24</f>
        <v>0</v>
      </c>
      <c r="F19" s="366"/>
      <c r="G19" s="365">
        <f ca="1">Data!N74</f>
        <v>0</v>
      </c>
      <c r="H19" s="366"/>
      <c r="I19" s="365">
        <f ca="1">Data!N124</f>
        <v>15</v>
      </c>
      <c r="J19" s="366"/>
      <c r="K19" s="385" t="str">
        <f ca="1">Data!N174</f>
        <v>No data</v>
      </c>
      <c r="L19" s="386"/>
    </row>
    <row r="20" spans="2:12" ht="15" customHeight="1" thickTop="1" x14ac:dyDescent="0.3">
      <c r="B20" s="409"/>
      <c r="C20" s="389" t="s">
        <v>10</v>
      </c>
      <c r="D20" s="391" t="s">
        <v>34</v>
      </c>
      <c r="E20" s="393">
        <f ca="1">Data!P24</f>
        <v>28</v>
      </c>
      <c r="F20" s="381">
        <f ca="1">IFERROR(E20/E26,"(-%)")</f>
        <v>0.13145539906103287</v>
      </c>
      <c r="G20" s="380">
        <f ca="1">Data!P74</f>
        <v>27</v>
      </c>
      <c r="H20" s="381">
        <f ca="1">IFERROR(G20/G26,"(-%)")</f>
        <v>0.11637931034482758</v>
      </c>
      <c r="I20" s="380">
        <f ca="1">Data!P124</f>
        <v>17</v>
      </c>
      <c r="J20" s="381">
        <f ca="1">IFERROR(I20/I26,"(-%)")</f>
        <v>8.7628865979381437E-2</v>
      </c>
      <c r="K20" s="382" t="str">
        <f ca="1">Data!P174</f>
        <v>No data</v>
      </c>
      <c r="L20" s="383" t="str">
        <f ca="1">IFERROR(K20/K26,"(-%)")</f>
        <v>(-%)</v>
      </c>
    </row>
    <row r="21" spans="2:12" ht="15" customHeight="1" x14ac:dyDescent="0.3">
      <c r="B21" s="409"/>
      <c r="C21" s="390"/>
      <c r="D21" s="392"/>
      <c r="E21" s="394"/>
      <c r="F21" s="376"/>
      <c r="G21" s="374"/>
      <c r="H21" s="376"/>
      <c r="I21" s="375"/>
      <c r="J21" s="376"/>
      <c r="K21" s="378"/>
      <c r="L21" s="355"/>
    </row>
    <row r="22" spans="2:12" ht="15" customHeight="1" x14ac:dyDescent="0.3">
      <c r="B22" s="409"/>
      <c r="C22" s="390"/>
      <c r="D22" s="392" t="s">
        <v>35</v>
      </c>
      <c r="E22" s="394">
        <f ca="1">Data!Q24</f>
        <v>53</v>
      </c>
      <c r="F22" s="376">
        <f ca="1">IFERROR(E22/E26,"(-%)")</f>
        <v>0.24882629107981222</v>
      </c>
      <c r="G22" s="374">
        <f ca="1">Data!Q74</f>
        <v>77</v>
      </c>
      <c r="H22" s="376">
        <f ca="1">IFERROR(G22/G26,"(-%)")</f>
        <v>0.33189655172413796</v>
      </c>
      <c r="I22" s="374">
        <f ca="1">Data!Q124</f>
        <v>46</v>
      </c>
      <c r="J22" s="376">
        <f ca="1">IFERROR(I22/I26,"(-%)")</f>
        <v>0.23711340206185566</v>
      </c>
      <c r="K22" s="377" t="str">
        <f ca="1">Data!Q174</f>
        <v>No data</v>
      </c>
      <c r="L22" s="355" t="str">
        <f ca="1">IFERROR(K22/K26,"(-%)")</f>
        <v>(-%)</v>
      </c>
    </row>
    <row r="23" spans="2:12" ht="15" customHeight="1" x14ac:dyDescent="0.3">
      <c r="B23" s="409"/>
      <c r="C23" s="390"/>
      <c r="D23" s="392"/>
      <c r="E23" s="394"/>
      <c r="F23" s="376"/>
      <c r="G23" s="374"/>
      <c r="H23" s="376"/>
      <c r="I23" s="375"/>
      <c r="J23" s="376"/>
      <c r="K23" s="378"/>
      <c r="L23" s="355"/>
    </row>
    <row r="24" spans="2:12" ht="15" customHeight="1" x14ac:dyDescent="0.3">
      <c r="B24" s="409"/>
      <c r="C24" s="390"/>
      <c r="D24" s="397" t="s">
        <v>36</v>
      </c>
      <c r="E24" s="394">
        <f ca="1">Data!R24</f>
        <v>116</v>
      </c>
      <c r="F24" s="376">
        <f ca="1">IFERROR(E24/E26,"(-%)")</f>
        <v>0.54460093896713613</v>
      </c>
      <c r="G24" s="374">
        <f ca="1">Data!R74</f>
        <v>108</v>
      </c>
      <c r="H24" s="376">
        <f ca="1">IFERROR(G24/G26,"(-%)")</f>
        <v>0.46551724137931033</v>
      </c>
      <c r="I24" s="374">
        <f ca="1">Data!R124</f>
        <v>131</v>
      </c>
      <c r="J24" s="376">
        <f ca="1">IFERROR(I24/I26,"(-%)")</f>
        <v>0.67525773195876293</v>
      </c>
      <c r="K24" s="377" t="str">
        <f ca="1">Data!R174</f>
        <v>No data</v>
      </c>
      <c r="L24" s="355" t="str">
        <f ca="1">IFERROR(K24/K26,"(-%)")</f>
        <v>(-%)</v>
      </c>
    </row>
    <row r="25" spans="2:12" ht="15" customHeight="1" x14ac:dyDescent="0.3">
      <c r="B25" s="409"/>
      <c r="C25" s="390"/>
      <c r="D25" s="392"/>
      <c r="E25" s="394"/>
      <c r="F25" s="376"/>
      <c r="G25" s="374"/>
      <c r="H25" s="376"/>
      <c r="I25" s="375"/>
      <c r="J25" s="376"/>
      <c r="K25" s="378"/>
      <c r="L25" s="355"/>
    </row>
    <row r="26" spans="2:12" ht="21.75" customHeight="1" thickBot="1" x14ac:dyDescent="0.35">
      <c r="B26" s="409"/>
      <c r="C26" s="390"/>
      <c r="D26" s="73" t="s">
        <v>167</v>
      </c>
      <c r="E26" s="395">
        <f ca="1">Data!S24</f>
        <v>213</v>
      </c>
      <c r="F26" s="396"/>
      <c r="G26" s="365">
        <f ca="1">Data!S74</f>
        <v>232</v>
      </c>
      <c r="H26" s="366"/>
      <c r="I26" s="365">
        <f ca="1">Data!T124</f>
        <v>194</v>
      </c>
      <c r="J26" s="367"/>
      <c r="K26" s="385" t="str">
        <f ca="1">Data!T174</f>
        <v>No data</v>
      </c>
      <c r="L26" s="387"/>
    </row>
    <row r="27" spans="2:12" ht="27.75" customHeight="1" thickTop="1" thickBot="1" x14ac:dyDescent="0.35">
      <c r="B27" s="361" t="s">
        <v>3</v>
      </c>
      <c r="C27" s="361" t="s">
        <v>9</v>
      </c>
      <c r="D27" s="362"/>
      <c r="E27" s="363">
        <f ca="1">Data!U24</f>
        <v>0</v>
      </c>
      <c r="F27" s="364"/>
      <c r="G27" s="357">
        <f ca="1">Data!U74</f>
        <v>0</v>
      </c>
      <c r="H27" s="364"/>
      <c r="I27" s="357">
        <f ca="1">Data!U124</f>
        <v>0</v>
      </c>
      <c r="J27" s="358"/>
      <c r="K27" s="359" t="str">
        <f ca="1">Data!U174</f>
        <v>No data</v>
      </c>
      <c r="L27" s="360"/>
    </row>
    <row r="28" spans="2:12" ht="24" customHeight="1" thickTop="1" thickBot="1" x14ac:dyDescent="0.35">
      <c r="B28" s="361"/>
      <c r="C28" s="361" t="s">
        <v>10</v>
      </c>
      <c r="D28" s="362"/>
      <c r="E28" s="363">
        <f ca="1">Data!V24</f>
        <v>0</v>
      </c>
      <c r="F28" s="364"/>
      <c r="G28" s="357">
        <f ca="1">Data!V74</f>
        <v>0</v>
      </c>
      <c r="H28" s="364"/>
      <c r="I28" s="357">
        <f ca="1">Data!V124</f>
        <v>0</v>
      </c>
      <c r="J28" s="358"/>
      <c r="K28" s="359" t="str">
        <f ca="1">Data!V174</f>
        <v>No data</v>
      </c>
      <c r="L28" s="360"/>
    </row>
    <row r="29" spans="2:12" ht="15" thickTop="1" x14ac:dyDescent="0.3"/>
    <row r="30" spans="2:12" x14ac:dyDescent="0.3">
      <c r="B30" s="11"/>
      <c r="C30" s="11"/>
      <c r="D30" s="11"/>
      <c r="E30" s="12"/>
      <c r="F30" s="41"/>
      <c r="G30" s="12"/>
      <c r="H30" s="12"/>
      <c r="I30" s="12"/>
      <c r="J30" s="12"/>
      <c r="K30" s="12"/>
      <c r="L30" s="12"/>
    </row>
    <row r="31" spans="2:12" x14ac:dyDescent="0.3">
      <c r="B31" s="379" t="s">
        <v>44</v>
      </c>
      <c r="C31" s="379"/>
      <c r="D31" s="379"/>
      <c r="E31" s="379"/>
      <c r="F31" s="78"/>
      <c r="G31" s="12"/>
      <c r="H31" s="12"/>
      <c r="I31" s="12"/>
      <c r="J31" s="12"/>
      <c r="K31" s="12"/>
      <c r="L31" s="12"/>
    </row>
    <row r="32" spans="2:12" x14ac:dyDescent="0.3">
      <c r="B32" s="11"/>
      <c r="C32" s="11"/>
      <c r="D32" s="11"/>
      <c r="E32" s="12"/>
      <c r="F32" s="41"/>
      <c r="G32" s="12"/>
      <c r="H32" s="12"/>
      <c r="I32" s="12"/>
      <c r="J32" s="12"/>
      <c r="K32" s="12"/>
      <c r="L32" s="12"/>
    </row>
    <row r="33" spans="2:12" x14ac:dyDescent="0.3">
      <c r="B33" s="11"/>
      <c r="C33" s="11"/>
      <c r="D33" s="11"/>
      <c r="E33" s="12"/>
      <c r="F33" s="41"/>
      <c r="G33" s="12"/>
      <c r="H33" s="12"/>
      <c r="I33" s="12"/>
      <c r="J33" s="12"/>
      <c r="K33" s="12"/>
      <c r="L33" s="12"/>
    </row>
    <row r="34" spans="2:12" x14ac:dyDescent="0.3">
      <c r="B34" s="11"/>
      <c r="C34" s="11"/>
      <c r="D34" s="11"/>
      <c r="E34" s="12"/>
      <c r="F34" s="41"/>
      <c r="G34" s="12"/>
      <c r="H34" s="12"/>
      <c r="I34" s="12"/>
      <c r="J34" s="12"/>
      <c r="K34" s="12"/>
      <c r="L34" s="12"/>
    </row>
    <row r="35" spans="2:12" x14ac:dyDescent="0.3">
      <c r="B35" s="11"/>
      <c r="C35" s="11"/>
      <c r="D35" s="11"/>
      <c r="E35" s="12"/>
      <c r="F35" s="41"/>
      <c r="G35" s="12"/>
      <c r="H35" s="12"/>
      <c r="I35" s="12"/>
      <c r="J35" s="12"/>
      <c r="K35" s="12"/>
      <c r="L35" s="12"/>
    </row>
    <row r="36" spans="2:12" x14ac:dyDescent="0.3">
      <c r="B36" s="11"/>
      <c r="C36" s="11"/>
      <c r="D36" s="11"/>
      <c r="E36" s="12"/>
      <c r="F36" s="41"/>
      <c r="G36" s="12"/>
      <c r="H36" s="12"/>
      <c r="I36" s="12"/>
      <c r="J36" s="12"/>
      <c r="K36" s="12"/>
      <c r="L36" s="12"/>
    </row>
    <row r="37" spans="2:12" x14ac:dyDescent="0.3">
      <c r="B37" s="11"/>
      <c r="C37" s="11"/>
      <c r="D37" s="11"/>
      <c r="E37" s="12"/>
      <c r="F37" s="41"/>
      <c r="G37" s="12"/>
      <c r="H37" s="12"/>
      <c r="I37" s="12"/>
      <c r="J37" s="12"/>
      <c r="K37" s="12"/>
      <c r="L37" s="12"/>
    </row>
    <row r="38" spans="2:12" x14ac:dyDescent="0.3">
      <c r="B38" s="11"/>
      <c r="C38" s="11"/>
      <c r="D38" s="11"/>
      <c r="E38" s="12"/>
      <c r="F38" s="41"/>
      <c r="G38" s="12"/>
      <c r="H38" s="12"/>
      <c r="I38" s="12"/>
      <c r="J38" s="12"/>
      <c r="K38" s="12"/>
      <c r="L38" s="12"/>
    </row>
    <row r="39" spans="2:12" x14ac:dyDescent="0.3">
      <c r="B39" s="11"/>
      <c r="C39" s="11"/>
      <c r="D39" s="11"/>
      <c r="E39" s="12"/>
      <c r="F39" s="41"/>
      <c r="G39" s="12"/>
      <c r="H39" s="12"/>
      <c r="I39" s="12"/>
      <c r="J39" s="12"/>
      <c r="K39" s="12"/>
      <c r="L39" s="12"/>
    </row>
    <row r="40" spans="2:12" x14ac:dyDescent="0.3">
      <c r="B40" s="11"/>
      <c r="C40" s="11"/>
      <c r="D40" s="11"/>
      <c r="E40" s="12"/>
      <c r="F40" s="41"/>
      <c r="G40" s="12"/>
      <c r="H40" s="12"/>
      <c r="I40" s="12"/>
      <c r="J40" s="12"/>
      <c r="K40" s="12"/>
      <c r="L40" s="12"/>
    </row>
    <row r="41" spans="2:12" x14ac:dyDescent="0.3">
      <c r="B41" s="11"/>
      <c r="C41" s="11"/>
      <c r="D41" s="11"/>
      <c r="E41" s="12"/>
      <c r="F41" s="41"/>
      <c r="G41" s="12"/>
      <c r="H41" s="12"/>
      <c r="I41" s="12"/>
      <c r="J41" s="12"/>
      <c r="K41" s="12"/>
      <c r="L41" s="12"/>
    </row>
    <row r="42" spans="2:12" x14ac:dyDescent="0.3">
      <c r="B42" s="11"/>
      <c r="C42" s="11"/>
      <c r="D42" s="11"/>
      <c r="E42" s="12"/>
      <c r="F42" s="41"/>
      <c r="G42" s="12"/>
      <c r="H42" s="12"/>
      <c r="I42" s="12"/>
      <c r="J42" s="12"/>
      <c r="K42" s="12"/>
      <c r="L42" s="12"/>
    </row>
    <row r="43" spans="2:12" x14ac:dyDescent="0.3">
      <c r="B43" s="11"/>
      <c r="C43" s="11"/>
      <c r="D43" s="11"/>
      <c r="E43" s="12"/>
      <c r="F43" s="41"/>
      <c r="G43" s="12"/>
      <c r="H43" s="12"/>
      <c r="I43" s="12"/>
      <c r="J43" s="12"/>
      <c r="K43" s="12"/>
      <c r="L43" s="12"/>
    </row>
    <row r="44" spans="2:12" x14ac:dyDescent="0.3">
      <c r="B44" s="11"/>
      <c r="C44" s="11"/>
      <c r="D44" s="11"/>
      <c r="E44" s="12"/>
      <c r="F44" s="41"/>
      <c r="G44" s="12"/>
      <c r="H44" s="12"/>
      <c r="I44" s="12"/>
      <c r="J44" s="12"/>
      <c r="K44" s="12"/>
      <c r="L44" s="12"/>
    </row>
    <row r="45" spans="2:12" x14ac:dyDescent="0.3">
      <c r="B45" s="11"/>
      <c r="C45" s="11"/>
      <c r="D45" s="11"/>
      <c r="E45" s="12"/>
      <c r="F45" s="41"/>
      <c r="G45" s="12"/>
      <c r="H45" s="12"/>
      <c r="I45" s="12"/>
      <c r="J45" s="12"/>
      <c r="K45" s="12"/>
      <c r="L45" s="12"/>
    </row>
    <row r="46" spans="2:12" x14ac:dyDescent="0.3">
      <c r="B46" s="11"/>
      <c r="C46" s="11"/>
      <c r="D46" s="11"/>
      <c r="E46" s="12"/>
      <c r="F46" s="41"/>
      <c r="G46" s="12"/>
      <c r="H46" s="12"/>
      <c r="I46" s="12"/>
      <c r="J46" s="12"/>
      <c r="K46" s="12"/>
      <c r="L46" s="12"/>
    </row>
    <row r="47" spans="2:12" x14ac:dyDescent="0.3">
      <c r="B47" s="11"/>
      <c r="C47" s="11"/>
      <c r="D47" s="11"/>
      <c r="E47" s="12"/>
      <c r="F47" s="41"/>
      <c r="G47" s="12"/>
      <c r="H47" s="12"/>
      <c r="I47" s="12"/>
      <c r="J47" s="12"/>
      <c r="K47" s="12"/>
      <c r="L47" s="12"/>
    </row>
    <row r="48" spans="2:12" x14ac:dyDescent="0.3">
      <c r="B48" s="11"/>
      <c r="C48" s="11"/>
      <c r="D48" s="11"/>
      <c r="E48" s="12"/>
      <c r="F48" s="41"/>
      <c r="G48" s="12"/>
      <c r="H48" s="12"/>
      <c r="I48" s="12"/>
      <c r="J48" s="12"/>
      <c r="K48" s="12"/>
      <c r="L48" s="12"/>
    </row>
    <row r="49" spans="2:12" x14ac:dyDescent="0.3">
      <c r="B49" s="11"/>
      <c r="C49" s="11"/>
      <c r="D49" s="11"/>
      <c r="E49" s="12"/>
      <c r="F49" s="41"/>
      <c r="G49" s="12"/>
      <c r="H49" s="12"/>
      <c r="I49" s="12"/>
      <c r="J49" s="12"/>
      <c r="K49" s="12"/>
      <c r="L49" s="12"/>
    </row>
    <row r="50" spans="2:12" x14ac:dyDescent="0.3">
      <c r="B50" s="11"/>
      <c r="C50" s="11"/>
      <c r="D50" s="11"/>
      <c r="E50" s="12"/>
      <c r="F50" s="41"/>
      <c r="G50" s="12"/>
      <c r="H50" s="12"/>
      <c r="I50" s="12"/>
      <c r="J50" s="12"/>
      <c r="K50" s="12"/>
      <c r="L50" s="12"/>
    </row>
    <row r="51" spans="2:12" x14ac:dyDescent="0.3">
      <c r="B51" s="11"/>
      <c r="C51" s="11"/>
      <c r="D51" s="11"/>
      <c r="E51" s="12"/>
      <c r="F51" s="41"/>
      <c r="G51" s="12"/>
      <c r="H51" s="12"/>
      <c r="I51" s="12"/>
      <c r="J51" s="12"/>
      <c r="K51" s="12"/>
      <c r="L51" s="12"/>
    </row>
    <row r="52" spans="2:12" ht="22.5" customHeight="1" x14ac:dyDescent="0.3">
      <c r="B52" s="90" t="s">
        <v>97</v>
      </c>
      <c r="C52" s="11"/>
      <c r="D52" s="11"/>
      <c r="E52" s="12"/>
      <c r="F52" s="41"/>
      <c r="G52" s="12"/>
      <c r="H52" s="12"/>
      <c r="I52" s="12"/>
      <c r="J52" s="12"/>
      <c r="K52" s="12"/>
      <c r="L52" s="12"/>
    </row>
    <row r="53" spans="2:12" x14ac:dyDescent="0.3">
      <c r="B53" s="88"/>
      <c r="C53" s="88"/>
      <c r="D53" s="88"/>
      <c r="E53" s="79"/>
      <c r="F53" s="89"/>
      <c r="G53" s="79"/>
      <c r="H53" s="79"/>
      <c r="I53" s="79"/>
      <c r="J53" s="79"/>
      <c r="K53" s="79"/>
      <c r="L53" s="79"/>
    </row>
    <row r="54" spans="2:12" x14ac:dyDescent="0.3">
      <c r="B54" s="88"/>
      <c r="C54" s="88"/>
      <c r="D54" s="88"/>
      <c r="E54" s="79"/>
      <c r="F54" s="89"/>
      <c r="G54" s="79"/>
      <c r="H54" s="79"/>
      <c r="I54" s="79"/>
      <c r="J54" s="79"/>
      <c r="K54" s="79"/>
      <c r="L54" s="79"/>
    </row>
    <row r="55" spans="2:12" x14ac:dyDescent="0.3">
      <c r="B55" s="88"/>
      <c r="C55" s="88"/>
      <c r="D55" s="88"/>
      <c r="E55" s="79"/>
      <c r="F55" s="89"/>
      <c r="G55" s="79"/>
      <c r="H55" s="79"/>
      <c r="I55" s="79"/>
      <c r="J55" s="79"/>
      <c r="K55" s="79"/>
      <c r="L55" s="79"/>
    </row>
    <row r="56" spans="2:12" x14ac:dyDescent="0.3">
      <c r="B56" s="88"/>
      <c r="C56" s="88"/>
      <c r="D56" s="88"/>
      <c r="E56" s="79"/>
      <c r="F56" s="89"/>
      <c r="G56" s="79"/>
      <c r="H56" s="79"/>
      <c r="I56" s="79"/>
      <c r="J56" s="79"/>
      <c r="K56" s="79"/>
      <c r="L56" s="79"/>
    </row>
    <row r="57" spans="2:12" x14ac:dyDescent="0.3">
      <c r="B57" s="88"/>
      <c r="C57" s="88"/>
      <c r="D57" s="88"/>
      <c r="E57" s="79"/>
      <c r="F57" s="89"/>
      <c r="G57" s="79"/>
      <c r="H57" s="79"/>
      <c r="I57" s="79"/>
      <c r="J57" s="79"/>
      <c r="K57" s="79"/>
      <c r="L57" s="79"/>
    </row>
    <row r="58" spans="2:12" x14ac:dyDescent="0.3">
      <c r="B58" s="88"/>
      <c r="C58" s="88"/>
      <c r="D58" s="88"/>
      <c r="E58" s="79"/>
      <c r="F58" s="89"/>
      <c r="G58" s="79"/>
      <c r="H58" s="79"/>
      <c r="I58" s="79"/>
      <c r="J58" s="79"/>
      <c r="K58" s="79"/>
      <c r="L58" s="79"/>
    </row>
    <row r="59" spans="2:12" x14ac:dyDescent="0.3">
      <c r="B59" s="88"/>
      <c r="C59" s="88"/>
      <c r="D59" s="88"/>
      <c r="E59" s="79"/>
      <c r="F59" s="89"/>
      <c r="G59" s="79"/>
      <c r="H59" s="79"/>
      <c r="I59" s="79"/>
      <c r="J59" s="79"/>
      <c r="K59" s="79"/>
      <c r="L59" s="79"/>
    </row>
    <row r="60" spans="2:12" x14ac:dyDescent="0.3">
      <c r="B60" s="88"/>
      <c r="C60" s="88"/>
      <c r="D60" s="88"/>
      <c r="E60" s="79"/>
      <c r="F60" s="89"/>
      <c r="G60" s="79"/>
      <c r="H60" s="79"/>
      <c r="I60" s="79"/>
      <c r="J60" s="79"/>
      <c r="K60" s="79"/>
      <c r="L60" s="79"/>
    </row>
    <row r="61" spans="2:12" x14ac:dyDescent="0.3">
      <c r="B61" s="88"/>
      <c r="C61" s="88"/>
      <c r="D61" s="88"/>
      <c r="E61" s="79"/>
      <c r="F61" s="89"/>
      <c r="G61" s="79"/>
      <c r="H61" s="79"/>
      <c r="I61" s="79"/>
      <c r="J61" s="79"/>
      <c r="K61" s="79"/>
      <c r="L61" s="79"/>
    </row>
    <row r="62" spans="2:12" x14ac:dyDescent="0.3">
      <c r="B62" s="88"/>
      <c r="C62" s="88"/>
      <c r="D62" s="88"/>
      <c r="E62" s="79"/>
      <c r="F62" s="89"/>
      <c r="G62" s="79"/>
      <c r="H62" s="79"/>
      <c r="I62" s="79"/>
      <c r="J62" s="79"/>
      <c r="K62" s="79"/>
      <c r="L62" s="79"/>
    </row>
    <row r="63" spans="2:12" x14ac:dyDescent="0.3">
      <c r="B63" s="88"/>
      <c r="C63" s="88"/>
      <c r="D63" s="88"/>
      <c r="E63" s="79"/>
      <c r="F63" s="89"/>
      <c r="G63" s="79"/>
      <c r="H63" s="79"/>
      <c r="I63" s="79"/>
      <c r="J63" s="79"/>
      <c r="K63" s="79"/>
      <c r="L63" s="79"/>
    </row>
    <row r="64" spans="2:12" x14ac:dyDescent="0.3">
      <c r="B64" s="88"/>
      <c r="C64" s="88"/>
      <c r="D64" s="88"/>
      <c r="E64" s="79"/>
      <c r="F64" s="89"/>
      <c r="G64" s="79"/>
      <c r="H64" s="79"/>
      <c r="I64" s="79"/>
      <c r="J64" s="79"/>
      <c r="K64" s="79"/>
      <c r="L64" s="79"/>
    </row>
    <row r="65" spans="2:12" x14ac:dyDescent="0.3">
      <c r="B65" s="88"/>
      <c r="C65" s="88"/>
      <c r="D65" s="88"/>
      <c r="E65" s="79"/>
      <c r="F65" s="89"/>
      <c r="G65" s="79"/>
      <c r="H65" s="79"/>
      <c r="I65" s="79"/>
      <c r="J65" s="79"/>
      <c r="K65" s="79"/>
      <c r="L65" s="79"/>
    </row>
    <row r="66" spans="2:12" x14ac:dyDescent="0.3">
      <c r="B66" s="88"/>
      <c r="C66" s="88"/>
      <c r="D66" s="88"/>
      <c r="E66" s="79"/>
      <c r="F66" s="89"/>
      <c r="G66" s="79"/>
      <c r="H66" s="79"/>
      <c r="I66" s="79"/>
      <c r="J66" s="79"/>
      <c r="K66" s="79"/>
      <c r="L66" s="79"/>
    </row>
    <row r="67" spans="2:12" x14ac:dyDescent="0.3">
      <c r="B67" s="88"/>
      <c r="C67" s="88"/>
      <c r="D67" s="88"/>
      <c r="E67" s="79"/>
      <c r="F67" s="89"/>
      <c r="G67" s="79"/>
      <c r="H67" s="79"/>
      <c r="I67" s="79"/>
      <c r="J67" s="79"/>
      <c r="K67" s="79"/>
      <c r="L67" s="79"/>
    </row>
    <row r="68" spans="2:12" x14ac:dyDescent="0.3">
      <c r="B68" s="11"/>
      <c r="C68" s="11"/>
      <c r="D68" s="11"/>
      <c r="E68" s="12"/>
      <c r="F68" s="41"/>
      <c r="G68" s="12"/>
      <c r="H68" s="12"/>
      <c r="I68" s="12"/>
      <c r="J68" s="12"/>
      <c r="K68" s="12"/>
      <c r="L68" s="12"/>
    </row>
    <row r="69" spans="2:12" x14ac:dyDescent="0.3">
      <c r="B69" s="90" t="s">
        <v>3</v>
      </c>
      <c r="C69" s="11"/>
      <c r="D69" s="11"/>
      <c r="E69" s="12"/>
      <c r="F69" s="41"/>
      <c r="G69" s="12"/>
      <c r="H69" s="12"/>
      <c r="I69" s="12"/>
      <c r="J69" s="12"/>
      <c r="K69" s="12"/>
      <c r="L69" s="12"/>
    </row>
    <row r="70" spans="2:12" x14ac:dyDescent="0.3">
      <c r="B70" s="11"/>
      <c r="C70" s="11"/>
      <c r="D70" s="11"/>
      <c r="E70" s="12"/>
      <c r="F70" s="41"/>
      <c r="G70" s="12"/>
      <c r="H70" s="12"/>
      <c r="I70" s="12"/>
      <c r="J70" s="12"/>
      <c r="K70" s="12"/>
      <c r="L70" s="12"/>
    </row>
    <row r="71" spans="2:12" x14ac:dyDescent="0.3">
      <c r="B71" s="11"/>
      <c r="C71" s="11"/>
      <c r="D71" s="11"/>
      <c r="E71" s="12"/>
      <c r="F71" s="41"/>
      <c r="G71" s="12"/>
      <c r="H71" s="12"/>
      <c r="I71" s="12"/>
      <c r="J71" s="12"/>
      <c r="K71" s="12"/>
      <c r="L71" s="12"/>
    </row>
    <row r="72" spans="2:12" x14ac:dyDescent="0.3">
      <c r="B72" s="11"/>
      <c r="C72" s="11"/>
      <c r="D72" s="11"/>
      <c r="E72" s="12"/>
      <c r="F72" s="41"/>
      <c r="G72" s="12"/>
      <c r="H72" s="12"/>
      <c r="I72" s="12"/>
      <c r="J72" s="12"/>
      <c r="K72" s="12"/>
      <c r="L72" s="12"/>
    </row>
    <row r="73" spans="2:12" x14ac:dyDescent="0.3">
      <c r="B73" s="11"/>
      <c r="C73" s="11"/>
      <c r="D73" s="11"/>
      <c r="E73" s="12"/>
      <c r="F73" s="41"/>
      <c r="G73" s="12"/>
      <c r="H73" s="12"/>
      <c r="I73" s="12"/>
      <c r="J73" s="12"/>
      <c r="K73" s="12"/>
      <c r="L73" s="12"/>
    </row>
    <row r="74" spans="2:12" x14ac:dyDescent="0.3">
      <c r="B74" s="11"/>
      <c r="C74" s="11"/>
      <c r="D74" s="11"/>
      <c r="E74" s="12"/>
      <c r="F74" s="41"/>
      <c r="G74" s="12"/>
      <c r="H74" s="12"/>
      <c r="I74" s="12"/>
      <c r="J74" s="12"/>
      <c r="K74" s="12"/>
      <c r="L74" s="12"/>
    </row>
    <row r="75" spans="2:12" x14ac:dyDescent="0.3">
      <c r="B75" s="11"/>
      <c r="C75" s="11"/>
      <c r="D75" s="11"/>
      <c r="E75" s="12"/>
      <c r="F75" s="41"/>
      <c r="G75" s="12"/>
      <c r="H75" s="12"/>
      <c r="I75" s="12"/>
      <c r="J75" s="12"/>
      <c r="K75" s="12"/>
      <c r="L75" s="12"/>
    </row>
    <row r="76" spans="2:12" x14ac:dyDescent="0.3">
      <c r="B76" s="11"/>
      <c r="C76" s="11"/>
      <c r="D76" s="11"/>
      <c r="E76" s="12"/>
      <c r="F76" s="41"/>
      <c r="G76" s="12"/>
      <c r="H76" s="12"/>
      <c r="I76" s="12"/>
      <c r="J76" s="12"/>
      <c r="K76" s="12"/>
      <c r="L76" s="12"/>
    </row>
    <row r="77" spans="2:12" x14ac:dyDescent="0.3">
      <c r="B77" s="11"/>
      <c r="C77" s="11"/>
      <c r="D77" s="11"/>
      <c r="E77" s="12"/>
      <c r="F77" s="41"/>
      <c r="G77" s="12"/>
      <c r="H77" s="12"/>
      <c r="I77" s="12"/>
      <c r="J77" s="12"/>
      <c r="K77" s="12"/>
      <c r="L77" s="12"/>
    </row>
    <row r="78" spans="2:12" x14ac:dyDescent="0.3">
      <c r="B78" s="11"/>
      <c r="C78" s="11"/>
      <c r="D78" s="11"/>
      <c r="E78" s="12"/>
      <c r="F78" s="41"/>
      <c r="G78" s="12"/>
      <c r="H78" s="12"/>
      <c r="I78" s="12"/>
      <c r="J78" s="12"/>
      <c r="K78" s="12"/>
      <c r="L78" s="12"/>
    </row>
    <row r="79" spans="2:12" x14ac:dyDescent="0.3">
      <c r="B79" s="11"/>
      <c r="C79" s="11"/>
      <c r="D79" s="11"/>
      <c r="E79" s="12"/>
      <c r="F79" s="41"/>
      <c r="G79" s="12"/>
      <c r="H79" s="12"/>
      <c r="I79" s="12"/>
      <c r="J79" s="12"/>
      <c r="K79" s="12"/>
      <c r="L79" s="12"/>
    </row>
    <row r="80" spans="2:12" x14ac:dyDescent="0.3">
      <c r="B80" s="11"/>
      <c r="C80" s="11"/>
      <c r="D80" s="11"/>
      <c r="E80" s="12"/>
      <c r="F80" s="41"/>
      <c r="G80" s="12"/>
      <c r="H80" s="12"/>
      <c r="I80" s="12"/>
      <c r="J80" s="12"/>
      <c r="K80" s="12"/>
      <c r="L80" s="12"/>
    </row>
    <row r="81" spans="2:12" x14ac:dyDescent="0.3">
      <c r="B81" s="11"/>
      <c r="C81" s="11"/>
      <c r="D81" s="11"/>
      <c r="E81" s="12"/>
      <c r="F81" s="41"/>
      <c r="G81" s="12"/>
      <c r="H81" s="12"/>
      <c r="I81" s="12"/>
      <c r="J81" s="12"/>
      <c r="K81" s="12"/>
      <c r="L81" s="12"/>
    </row>
    <row r="82" spans="2:12" x14ac:dyDescent="0.3">
      <c r="B82" s="11"/>
      <c r="C82" s="11"/>
      <c r="D82" s="11"/>
      <c r="E82" s="12"/>
      <c r="F82" s="41"/>
      <c r="G82" s="12"/>
      <c r="H82" s="12"/>
      <c r="I82" s="12"/>
      <c r="J82" s="12"/>
      <c r="K82" s="12"/>
      <c r="L82" s="12"/>
    </row>
    <row r="83" spans="2:12" x14ac:dyDescent="0.3">
      <c r="B83" s="11"/>
      <c r="C83" s="11"/>
      <c r="D83" s="11"/>
      <c r="E83" s="12"/>
      <c r="F83" s="41"/>
      <c r="G83" s="12"/>
      <c r="H83" s="12"/>
      <c r="I83" s="12"/>
      <c r="J83" s="12"/>
      <c r="K83" s="12"/>
      <c r="L83" s="12"/>
    </row>
    <row r="84" spans="2:12" x14ac:dyDescent="0.3">
      <c r="B84" s="11"/>
      <c r="C84" s="11"/>
      <c r="D84" s="11"/>
      <c r="E84" s="12"/>
      <c r="F84" s="41"/>
      <c r="G84" s="12"/>
      <c r="H84" s="12"/>
      <c r="I84" s="12"/>
      <c r="J84" s="12"/>
      <c r="K84" s="12"/>
      <c r="L84" s="12"/>
    </row>
    <row r="85" spans="2:12" x14ac:dyDescent="0.3">
      <c r="B85" s="11"/>
      <c r="C85" s="11"/>
      <c r="D85" s="11"/>
      <c r="E85" s="12"/>
      <c r="F85" s="41"/>
      <c r="G85" s="12"/>
      <c r="H85" s="12"/>
      <c r="I85" s="12"/>
      <c r="J85" s="12"/>
      <c r="K85" s="12"/>
      <c r="L85" s="12"/>
    </row>
    <row r="86" spans="2:12" x14ac:dyDescent="0.3">
      <c r="B86" s="11"/>
      <c r="C86" s="11"/>
      <c r="D86" s="11"/>
      <c r="E86" s="12"/>
      <c r="F86" s="41"/>
      <c r="G86" s="12"/>
      <c r="H86" s="12"/>
      <c r="I86" s="12"/>
      <c r="J86" s="12"/>
      <c r="K86" s="12"/>
      <c r="L86" s="12"/>
    </row>
    <row r="87" spans="2:12" x14ac:dyDescent="0.3">
      <c r="B87" s="11"/>
      <c r="C87" s="11"/>
      <c r="D87" s="11"/>
      <c r="E87" s="12"/>
      <c r="F87" s="41"/>
      <c r="G87" s="12"/>
      <c r="H87" s="12"/>
      <c r="I87" s="12"/>
      <c r="J87" s="12"/>
      <c r="K87" s="12"/>
      <c r="L87" s="12"/>
    </row>
    <row r="88" spans="2:12" x14ac:dyDescent="0.3">
      <c r="B88" s="11"/>
      <c r="C88" s="11"/>
      <c r="D88" s="11"/>
      <c r="E88" s="12"/>
      <c r="F88" s="41"/>
      <c r="G88" s="12"/>
      <c r="H88" s="12"/>
      <c r="I88" s="12"/>
      <c r="J88" s="12"/>
      <c r="K88" s="12"/>
      <c r="L88" s="12"/>
    </row>
    <row r="89" spans="2:12" x14ac:dyDescent="0.3">
      <c r="B89" s="11"/>
      <c r="C89" s="11"/>
      <c r="D89" s="11"/>
      <c r="E89" s="12"/>
      <c r="F89" s="41"/>
      <c r="G89" s="12"/>
      <c r="H89" s="12"/>
      <c r="I89" s="12"/>
      <c r="J89" s="12"/>
      <c r="K89" s="12"/>
      <c r="L89" s="12"/>
    </row>
    <row r="90" spans="2:12" x14ac:dyDescent="0.3">
      <c r="B90" s="11"/>
      <c r="C90" s="11"/>
      <c r="D90" s="11"/>
      <c r="E90" s="12"/>
      <c r="F90" s="41"/>
      <c r="G90" s="12"/>
      <c r="H90" s="12"/>
      <c r="I90" s="12"/>
      <c r="J90" s="12"/>
      <c r="K90" s="12"/>
      <c r="L90" s="12"/>
    </row>
    <row r="91" spans="2:12" x14ac:dyDescent="0.3">
      <c r="B91" s="11"/>
      <c r="C91" s="11"/>
      <c r="D91" s="11"/>
      <c r="E91" s="12"/>
      <c r="F91" s="41"/>
      <c r="G91" s="12"/>
      <c r="H91" s="12"/>
      <c r="I91" s="12"/>
      <c r="J91" s="12"/>
      <c r="K91" s="12"/>
      <c r="L91" s="12"/>
    </row>
    <row r="92" spans="2:12" s="42" customFormat="1" x14ac:dyDescent="0.3">
      <c r="B92" s="91"/>
      <c r="C92" s="91"/>
      <c r="D92" s="91"/>
      <c r="F92" s="92"/>
    </row>
    <row r="93" spans="2:12" s="42" customFormat="1" hidden="1" x14ac:dyDescent="0.3">
      <c r="B93" s="91"/>
      <c r="C93" s="91"/>
      <c r="D93" s="91"/>
      <c r="F93" s="92"/>
    </row>
  </sheetData>
  <sheetProtection algorithmName="SHA-512" hashValue="Rbntr9/qKCgGDxNx+uvLBdJ7HIl5YyvPcsGVU4ZmdofrRwv1m0noDe7PBjvWZdOW9jTvxY7+/kOxD3nkDp6g3g==" saltValue="BuiTsVNTLtyv5TnbYfm8dA==" spinCount="100000" sheet="1" objects="1" scenarios="1" selectLockedCells="1"/>
  <mergeCells count="97">
    <mergeCell ref="F3:J4"/>
    <mergeCell ref="B3:B4"/>
    <mergeCell ref="K13:K14"/>
    <mergeCell ref="B13:B26"/>
    <mergeCell ref="B6:D6"/>
    <mergeCell ref="E6:F6"/>
    <mergeCell ref="G6:H6"/>
    <mergeCell ref="I6:J6"/>
    <mergeCell ref="K6:L6"/>
    <mergeCell ref="K7:L9"/>
    <mergeCell ref="B7:B12"/>
    <mergeCell ref="C7:D9"/>
    <mergeCell ref="E7:F9"/>
    <mergeCell ref="G7:H9"/>
    <mergeCell ref="C10:D12"/>
    <mergeCell ref="E10:F12"/>
    <mergeCell ref="G10:H12"/>
    <mergeCell ref="I7:J9"/>
    <mergeCell ref="I10:J12"/>
    <mergeCell ref="D15:D16"/>
    <mergeCell ref="C13:C19"/>
    <mergeCell ref="D13:D14"/>
    <mergeCell ref="E13:E14"/>
    <mergeCell ref="F13:F14"/>
    <mergeCell ref="D17:D18"/>
    <mergeCell ref="E17:E18"/>
    <mergeCell ref="F17:F18"/>
    <mergeCell ref="E15:E16"/>
    <mergeCell ref="F15:F16"/>
    <mergeCell ref="I13:I14"/>
    <mergeCell ref="J13:J14"/>
    <mergeCell ref="H24:H25"/>
    <mergeCell ref="G22:G23"/>
    <mergeCell ref="H22:H23"/>
    <mergeCell ref="G13:G14"/>
    <mergeCell ref="H13:H14"/>
    <mergeCell ref="C20:C26"/>
    <mergeCell ref="D20:D21"/>
    <mergeCell ref="E20:E21"/>
    <mergeCell ref="F20:F21"/>
    <mergeCell ref="G20:G21"/>
    <mergeCell ref="D22:D23"/>
    <mergeCell ref="E22:E23"/>
    <mergeCell ref="F22:F23"/>
    <mergeCell ref="G24:G25"/>
    <mergeCell ref="E26:F26"/>
    <mergeCell ref="D24:D25"/>
    <mergeCell ref="E24:E25"/>
    <mergeCell ref="F24:F25"/>
    <mergeCell ref="B1:C1"/>
    <mergeCell ref="B27:B28"/>
    <mergeCell ref="K19:L19"/>
    <mergeCell ref="K26:L26"/>
    <mergeCell ref="I24:I25"/>
    <mergeCell ref="J24:J25"/>
    <mergeCell ref="K24:K25"/>
    <mergeCell ref="L24:L25"/>
    <mergeCell ref="L13:L14"/>
    <mergeCell ref="I15:I16"/>
    <mergeCell ref="J15:J16"/>
    <mergeCell ref="K15:K16"/>
    <mergeCell ref="L17:L18"/>
    <mergeCell ref="E19:F19"/>
    <mergeCell ref="G19:H19"/>
    <mergeCell ref="H20:H21"/>
    <mergeCell ref="K10:L12"/>
    <mergeCell ref="I22:I23"/>
    <mergeCell ref="J22:J23"/>
    <mergeCell ref="K22:K23"/>
    <mergeCell ref="B31:E31"/>
    <mergeCell ref="I20:I21"/>
    <mergeCell ref="J20:J21"/>
    <mergeCell ref="K20:K21"/>
    <mergeCell ref="L20:L21"/>
    <mergeCell ref="G17:G18"/>
    <mergeCell ref="H17:H18"/>
    <mergeCell ref="I17:I18"/>
    <mergeCell ref="J17:J18"/>
    <mergeCell ref="K17:K18"/>
    <mergeCell ref="G15:G16"/>
    <mergeCell ref="H15:H16"/>
    <mergeCell ref="L15:L16"/>
    <mergeCell ref="L1:M1"/>
    <mergeCell ref="I27:J27"/>
    <mergeCell ref="K27:L27"/>
    <mergeCell ref="C28:D28"/>
    <mergeCell ref="E28:F28"/>
    <mergeCell ref="G28:H28"/>
    <mergeCell ref="I28:J28"/>
    <mergeCell ref="K28:L28"/>
    <mergeCell ref="G26:H26"/>
    <mergeCell ref="C27:D27"/>
    <mergeCell ref="E27:F27"/>
    <mergeCell ref="G27:H27"/>
    <mergeCell ref="L22:L23"/>
    <mergeCell ref="I19:J19"/>
    <mergeCell ref="I26:J26"/>
  </mergeCells>
  <conditionalFormatting sqref="F3:J4">
    <cfRule type="expression" dxfId="1" priority="1">
      <formula>OR(AdultChoice=2,AdultChoice=11)</formula>
    </cfRule>
  </conditionalFormatting>
  <hyperlinks>
    <hyperlink ref="L1:M1" location="'Front Page'!A1" display="Return to Contents" xr:uid="{00000000-0004-0000-0E00-000000000000}"/>
  </hyperlinks>
  <pageMargins left="0.7" right="0.7" top="0.75" bottom="0.75" header="0.3" footer="0.3"/>
  <pageSetup paperSize="9" orientation="portrait" r:id="rId1"/>
  <ignoredErrors>
    <ignoredError sqref="G1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8" r:id="rId4" name="Drop Down 12">
              <controlPr defaultSize="0" autoLine="0" autoPict="0">
                <anchor moveWithCells="1">
                  <from>
                    <xdr:col>7</xdr:col>
                    <xdr:colOff>525780</xdr:colOff>
                    <xdr:row>27</xdr:row>
                    <xdr:rowOff>236220</xdr:rowOff>
                  </from>
                  <to>
                    <xdr:col>11</xdr:col>
                    <xdr:colOff>266700</xdr:colOff>
                    <xdr:row>29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5" name="Drop Down 13">
              <controlPr defaultSize="0" autoLine="0" autoPict="0">
                <anchor moveWithCells="1">
                  <from>
                    <xdr:col>2</xdr:col>
                    <xdr:colOff>0</xdr:colOff>
                    <xdr:row>2</xdr:row>
                    <xdr:rowOff>7620</xdr:rowOff>
                  </from>
                  <to>
                    <xdr:col>4</xdr:col>
                    <xdr:colOff>365760</xdr:colOff>
                    <xdr:row>3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Q92"/>
  <sheetViews>
    <sheetView showGridLines="0" workbookViewId="0">
      <selection activeCell="L1" sqref="L1:M1"/>
    </sheetView>
  </sheetViews>
  <sheetFormatPr defaultColWidth="0" defaultRowHeight="14.4" zeroHeight="1" x14ac:dyDescent="0.3"/>
  <cols>
    <col min="1" max="1" width="9.109375" customWidth="1"/>
    <col min="2" max="2" width="30" style="3" customWidth="1"/>
    <col min="3" max="3" width="17.5546875" style="3" customWidth="1"/>
    <col min="4" max="4" width="16.44140625" style="3" customWidth="1"/>
    <col min="5" max="5" width="10.88671875" customWidth="1"/>
    <col min="6" max="6" width="10.88671875" style="40" customWidth="1"/>
    <col min="7" max="7" width="10.88671875" customWidth="1"/>
    <col min="8" max="8" width="10.88671875" style="33" customWidth="1"/>
    <col min="9" max="9" width="10.88671875" customWidth="1"/>
    <col min="10" max="10" width="10.88671875" style="33" customWidth="1"/>
    <col min="11" max="11" width="10.88671875" customWidth="1"/>
    <col min="12" max="12" width="10.88671875" style="33" customWidth="1"/>
    <col min="13" max="14" width="9.109375" customWidth="1"/>
    <col min="15" max="17" width="0" hidden="1" customWidth="1"/>
    <col min="18" max="16384" width="9.109375" hidden="1"/>
  </cols>
  <sheetData>
    <row r="1" spans="2:13" s="10" customFormat="1" ht="29.4" customHeight="1" x14ac:dyDescent="0.3">
      <c r="B1" s="87" t="s">
        <v>66</v>
      </c>
      <c r="C1" s="85"/>
      <c r="D1" s="85"/>
      <c r="F1" s="86"/>
      <c r="L1" s="356" t="s">
        <v>95</v>
      </c>
      <c r="M1" s="356"/>
    </row>
    <row r="2" spans="2:13" x14ac:dyDescent="0.3">
      <c r="B2" s="4"/>
      <c r="C2" s="4"/>
      <c r="D2" s="4"/>
    </row>
    <row r="3" spans="2:13" x14ac:dyDescent="0.3">
      <c r="B3" s="407" t="s">
        <v>154</v>
      </c>
      <c r="C3" s="4"/>
      <c r="D3" s="4"/>
      <c r="F3" s="405" t="s">
        <v>169</v>
      </c>
      <c r="G3" s="406"/>
      <c r="H3" s="406"/>
      <c r="I3" s="406"/>
      <c r="J3" s="406"/>
    </row>
    <row r="4" spans="2:13" x14ac:dyDescent="0.3">
      <c r="B4" s="407"/>
      <c r="C4" s="4"/>
      <c r="D4" s="4"/>
      <c r="F4" s="406"/>
      <c r="G4" s="406"/>
      <c r="H4" s="406"/>
      <c r="I4" s="406"/>
      <c r="J4" s="406"/>
    </row>
    <row r="5" spans="2:13" ht="15" thickBot="1" x14ac:dyDescent="0.35"/>
    <row r="6" spans="2:13" s="8" customFormat="1" ht="25.95" customHeight="1" thickTop="1" thickBot="1" x14ac:dyDescent="0.35">
      <c r="B6" s="410"/>
      <c r="C6" s="411"/>
      <c r="D6" s="412"/>
      <c r="E6" s="413" t="s">
        <v>191</v>
      </c>
      <c r="F6" s="414"/>
      <c r="G6" s="413" t="s">
        <v>192</v>
      </c>
      <c r="H6" s="414"/>
      <c r="I6" s="413" t="s">
        <v>193</v>
      </c>
      <c r="J6" s="414"/>
      <c r="K6" s="413" t="s">
        <v>194</v>
      </c>
      <c r="L6" s="414"/>
    </row>
    <row r="7" spans="2:13" ht="10.5" customHeight="1" thickTop="1" x14ac:dyDescent="0.3">
      <c r="B7" s="389" t="s">
        <v>45</v>
      </c>
      <c r="C7" s="415" t="s">
        <v>9</v>
      </c>
      <c r="D7" s="416"/>
      <c r="E7" s="398" t="str">
        <f ca="1">Data!G49</f>
        <v>No data</v>
      </c>
      <c r="F7" s="399"/>
      <c r="G7" s="398" t="str">
        <f ca="1">Data!G99</f>
        <v>No data</v>
      </c>
      <c r="H7" s="399"/>
      <c r="I7" s="427" t="str">
        <f ca="1">Data!G149</f>
        <v>No data</v>
      </c>
      <c r="J7" s="399"/>
      <c r="K7" s="425" t="str">
        <f ca="1">Data!G199</f>
        <v>No data</v>
      </c>
      <c r="L7" s="369"/>
    </row>
    <row r="8" spans="2:13" ht="10.5" customHeight="1" x14ac:dyDescent="0.3">
      <c r="B8" s="390"/>
      <c r="C8" s="417"/>
      <c r="D8" s="418"/>
      <c r="E8" s="400"/>
      <c r="F8" s="401"/>
      <c r="G8" s="400"/>
      <c r="H8" s="401"/>
      <c r="I8" s="400"/>
      <c r="J8" s="401"/>
      <c r="K8" s="370"/>
      <c r="L8" s="371"/>
    </row>
    <row r="9" spans="2:13" ht="10.5" customHeight="1" thickBot="1" x14ac:dyDescent="0.35">
      <c r="B9" s="390"/>
      <c r="C9" s="417"/>
      <c r="D9" s="418"/>
      <c r="E9" s="402"/>
      <c r="F9" s="403"/>
      <c r="G9" s="402"/>
      <c r="H9" s="403"/>
      <c r="I9" s="402"/>
      <c r="J9" s="403"/>
      <c r="K9" s="372"/>
      <c r="L9" s="373"/>
    </row>
    <row r="10" spans="2:13" ht="10.5" customHeight="1" thickTop="1" x14ac:dyDescent="0.3">
      <c r="B10" s="390"/>
      <c r="C10" s="415" t="s">
        <v>10</v>
      </c>
      <c r="D10" s="416"/>
      <c r="E10" s="398" t="str">
        <f ca="1">Data!H49</f>
        <v>No data</v>
      </c>
      <c r="F10" s="419"/>
      <c r="G10" s="398" t="str">
        <f ca="1">Data!H99</f>
        <v>No data</v>
      </c>
      <c r="H10" s="399"/>
      <c r="I10" s="427" t="str">
        <f ca="1">Data!H149</f>
        <v>No data</v>
      </c>
      <c r="J10" s="399"/>
      <c r="K10" s="425" t="str">
        <f ca="1">Data!H199</f>
        <v>No data</v>
      </c>
      <c r="L10" s="369"/>
    </row>
    <row r="11" spans="2:13" ht="10.5" customHeight="1" x14ac:dyDescent="0.3">
      <c r="B11" s="390"/>
      <c r="C11" s="417"/>
      <c r="D11" s="418"/>
      <c r="E11" s="420"/>
      <c r="F11" s="421"/>
      <c r="G11" s="400"/>
      <c r="H11" s="401"/>
      <c r="I11" s="400"/>
      <c r="J11" s="401"/>
      <c r="K11" s="370"/>
      <c r="L11" s="371"/>
    </row>
    <row r="12" spans="2:13" ht="10.5" customHeight="1" thickBot="1" x14ac:dyDescent="0.35">
      <c r="B12" s="404"/>
      <c r="C12" s="417"/>
      <c r="D12" s="418"/>
      <c r="E12" s="422"/>
      <c r="F12" s="423"/>
      <c r="G12" s="402"/>
      <c r="H12" s="403"/>
      <c r="I12" s="402"/>
      <c r="J12" s="403"/>
      <c r="K12" s="372"/>
      <c r="L12" s="373"/>
    </row>
    <row r="13" spans="2:13" ht="15" customHeight="1" thickTop="1" x14ac:dyDescent="0.3">
      <c r="B13" s="408" t="s">
        <v>168</v>
      </c>
      <c r="C13" s="389" t="s">
        <v>9</v>
      </c>
      <c r="D13" s="391" t="s">
        <v>34</v>
      </c>
      <c r="E13" s="393" t="str">
        <f ca="1">Data!J49</f>
        <v>No data</v>
      </c>
      <c r="F13" s="381" t="str">
        <f ca="1">IFERROR(E13/E19,"(-%)")</f>
        <v>(-%)</v>
      </c>
      <c r="G13" s="380" t="str">
        <f ca="1">Data!J99</f>
        <v>No data</v>
      </c>
      <c r="H13" s="381" t="str">
        <f ca="1">IFERROR(G13/G19,"(-%)")</f>
        <v>(-%)</v>
      </c>
      <c r="I13" s="380" t="str">
        <f ca="1">Data!J149</f>
        <v>No data</v>
      </c>
      <c r="J13" s="381" t="str">
        <f ca="1">IFERROR(I13/I19,"(-%)")</f>
        <v>(-%)</v>
      </c>
      <c r="K13" s="382" t="str">
        <f ca="1">Data!J199</f>
        <v>No data</v>
      </c>
      <c r="L13" s="383" t="str">
        <f ca="1">IFERROR(K13/K19,"(-%)")</f>
        <v>(-%)</v>
      </c>
    </row>
    <row r="14" spans="2:13" ht="15" customHeight="1" x14ac:dyDescent="0.3">
      <c r="B14" s="409"/>
      <c r="C14" s="390"/>
      <c r="D14" s="392"/>
      <c r="E14" s="394"/>
      <c r="F14" s="376"/>
      <c r="G14" s="374"/>
      <c r="H14" s="376"/>
      <c r="I14" s="374"/>
      <c r="J14" s="376"/>
      <c r="K14" s="377"/>
      <c r="L14" s="355"/>
    </row>
    <row r="15" spans="2:13" ht="15" customHeight="1" x14ac:dyDescent="0.3">
      <c r="B15" s="409"/>
      <c r="C15" s="390"/>
      <c r="D15" s="392" t="s">
        <v>35</v>
      </c>
      <c r="E15" s="394" t="str">
        <f ca="1">Data!K49</f>
        <v>No data</v>
      </c>
      <c r="F15" s="376" t="str">
        <f ca="1">IFERROR(E15/E19,"(-%)")</f>
        <v>(-%)</v>
      </c>
      <c r="G15" s="374" t="str">
        <f ca="1">Data!K99</f>
        <v>No data</v>
      </c>
      <c r="H15" s="376" t="str">
        <f ca="1">IFERROR(G15/G19,"(-%)")</f>
        <v>(-%)</v>
      </c>
      <c r="I15" s="374" t="str">
        <f ca="1">Data!K149</f>
        <v>No data</v>
      </c>
      <c r="J15" s="376" t="str">
        <f ca="1">IFERROR(I15/I19,"(-%)")</f>
        <v>(-%)</v>
      </c>
      <c r="K15" s="377" t="str">
        <f ca="1">Data!K199</f>
        <v>No data</v>
      </c>
      <c r="L15" s="355" t="str">
        <f ca="1">IFERROR(K15/K19,"(-%)")</f>
        <v>(-%)</v>
      </c>
    </row>
    <row r="16" spans="2:13" ht="15" customHeight="1" x14ac:dyDescent="0.3">
      <c r="B16" s="409"/>
      <c r="C16" s="390"/>
      <c r="D16" s="392"/>
      <c r="E16" s="394"/>
      <c r="F16" s="376"/>
      <c r="G16" s="374"/>
      <c r="H16" s="376"/>
      <c r="I16" s="374"/>
      <c r="J16" s="376"/>
      <c r="K16" s="377"/>
      <c r="L16" s="355"/>
    </row>
    <row r="17" spans="2:12" ht="15" customHeight="1" x14ac:dyDescent="0.3">
      <c r="B17" s="409"/>
      <c r="C17" s="390"/>
      <c r="D17" s="397" t="s">
        <v>36</v>
      </c>
      <c r="E17" s="394" t="str">
        <f ca="1">Data!L49</f>
        <v>No data</v>
      </c>
      <c r="F17" s="376" t="str">
        <f ca="1">IFERROR(E17/E19,"(-%)")</f>
        <v>(-%)</v>
      </c>
      <c r="G17" s="374" t="str">
        <f ca="1">Data!L99</f>
        <v>No data</v>
      </c>
      <c r="H17" s="376" t="str">
        <f ca="1">IFERROR(G17/G19,"(-%)")</f>
        <v>(-%)</v>
      </c>
      <c r="I17" s="374" t="str">
        <f ca="1">Data!L149</f>
        <v>No data</v>
      </c>
      <c r="J17" s="376" t="str">
        <f ca="1">IFERROR(I17/I19,"(-%)")</f>
        <v>(-%)</v>
      </c>
      <c r="K17" s="377" t="str">
        <f ca="1">Data!L199</f>
        <v>No data</v>
      </c>
      <c r="L17" s="355" t="str">
        <f ca="1">IFERROR(K17/K19,"(-%)")</f>
        <v>(-%)</v>
      </c>
    </row>
    <row r="18" spans="2:12" ht="15" customHeight="1" x14ac:dyDescent="0.3">
      <c r="B18" s="409"/>
      <c r="C18" s="390"/>
      <c r="D18" s="392"/>
      <c r="E18" s="394"/>
      <c r="F18" s="376"/>
      <c r="G18" s="374"/>
      <c r="H18" s="376"/>
      <c r="I18" s="374"/>
      <c r="J18" s="376"/>
      <c r="K18" s="377"/>
      <c r="L18" s="355"/>
    </row>
    <row r="19" spans="2:12" s="33" customFormat="1" ht="26.25" customHeight="1" thickBot="1" x14ac:dyDescent="0.35">
      <c r="B19" s="409"/>
      <c r="C19" s="404"/>
      <c r="D19" s="44" t="s">
        <v>167</v>
      </c>
      <c r="E19" s="388" t="str">
        <f ca="1">Data!M49</f>
        <v>No data</v>
      </c>
      <c r="F19" s="366"/>
      <c r="G19" s="365" t="str">
        <f ca="1">Data!M99</f>
        <v>No data</v>
      </c>
      <c r="H19" s="366"/>
      <c r="I19" s="365" t="str">
        <f ca="1">Data!N149</f>
        <v>No data</v>
      </c>
      <c r="J19" s="366"/>
      <c r="K19" s="385" t="str">
        <f ca="1">Data!N199</f>
        <v>No data</v>
      </c>
      <c r="L19" s="386"/>
    </row>
    <row r="20" spans="2:12" ht="15" customHeight="1" thickTop="1" x14ac:dyDescent="0.3">
      <c r="B20" s="409"/>
      <c r="C20" s="389" t="s">
        <v>10</v>
      </c>
      <c r="D20" s="391" t="s">
        <v>34</v>
      </c>
      <c r="E20" s="393" t="str">
        <f ca="1">Data!P49</f>
        <v>No data</v>
      </c>
      <c r="F20" s="381" t="str">
        <f ca="1">IFERROR(E20/E26,"(-%)")</f>
        <v>(-%)</v>
      </c>
      <c r="G20" s="380" t="str">
        <f ca="1">Data!P99</f>
        <v>No data</v>
      </c>
      <c r="H20" s="381" t="str">
        <f ca="1">IFERROR(G20/G26,"(-%)")</f>
        <v>(-%)</v>
      </c>
      <c r="I20" s="428" t="str">
        <f ca="1">Data!P149</f>
        <v>No data</v>
      </c>
      <c r="J20" s="381" t="str">
        <f ca="1">IFERROR(I20/I26,"(-%)")</f>
        <v>(-%)</v>
      </c>
      <c r="K20" s="429" t="str">
        <f ca="1">Data!P199</f>
        <v>No data</v>
      </c>
      <c r="L20" s="383" t="str">
        <f ca="1">IFERROR(K20/K26,"(-%)")</f>
        <v>(-%)</v>
      </c>
    </row>
    <row r="21" spans="2:12" ht="15" customHeight="1" x14ac:dyDescent="0.3">
      <c r="B21" s="409"/>
      <c r="C21" s="390"/>
      <c r="D21" s="392"/>
      <c r="E21" s="394"/>
      <c r="F21" s="376"/>
      <c r="G21" s="374"/>
      <c r="H21" s="376"/>
      <c r="I21" s="375"/>
      <c r="J21" s="376"/>
      <c r="K21" s="378"/>
      <c r="L21" s="355"/>
    </row>
    <row r="22" spans="2:12" ht="15" customHeight="1" x14ac:dyDescent="0.3">
      <c r="B22" s="409"/>
      <c r="C22" s="390"/>
      <c r="D22" s="392" t="s">
        <v>35</v>
      </c>
      <c r="E22" s="394" t="str">
        <f ca="1">Data!Q49</f>
        <v>No data</v>
      </c>
      <c r="F22" s="376" t="str">
        <f ca="1">IFERROR(E22/E26,"(-%)")</f>
        <v>(-%)</v>
      </c>
      <c r="G22" s="374" t="str">
        <f ca="1">Data!Q99</f>
        <v>No data</v>
      </c>
      <c r="H22" s="376" t="str">
        <f ca="1">IFERROR(G22/G26,"(-%)")</f>
        <v>(-%)</v>
      </c>
      <c r="I22" s="375" t="str">
        <f ca="1">Data!Q149</f>
        <v>No data</v>
      </c>
      <c r="J22" s="376" t="str">
        <f ca="1">IFERROR(I22/I26,"(-%)")</f>
        <v>(-%)</v>
      </c>
      <c r="K22" s="378" t="str">
        <f ca="1">Data!Q199</f>
        <v>No data</v>
      </c>
      <c r="L22" s="355" t="str">
        <f ca="1">IFERROR(K22/K26,"(-%)")</f>
        <v>(-%)</v>
      </c>
    </row>
    <row r="23" spans="2:12" ht="15" customHeight="1" x14ac:dyDescent="0.3">
      <c r="B23" s="409"/>
      <c r="C23" s="390"/>
      <c r="D23" s="392"/>
      <c r="E23" s="394"/>
      <c r="F23" s="376"/>
      <c r="G23" s="374"/>
      <c r="H23" s="376"/>
      <c r="I23" s="375"/>
      <c r="J23" s="376"/>
      <c r="K23" s="378"/>
      <c r="L23" s="355"/>
    </row>
    <row r="24" spans="2:12" ht="15" customHeight="1" x14ac:dyDescent="0.3">
      <c r="B24" s="409"/>
      <c r="C24" s="390"/>
      <c r="D24" s="397" t="s">
        <v>36</v>
      </c>
      <c r="E24" s="394" t="str">
        <f ca="1">Data!R49</f>
        <v>No data</v>
      </c>
      <c r="F24" s="376" t="str">
        <f ca="1">IFERROR(E24/E26,"(-%)")</f>
        <v>(-%)</v>
      </c>
      <c r="G24" s="374" t="str">
        <f ca="1">Data!R99</f>
        <v>No data</v>
      </c>
      <c r="H24" s="376" t="str">
        <f ca="1">IFERROR(G24/G26,"(-%)")</f>
        <v>(-%)</v>
      </c>
      <c r="I24" s="375" t="str">
        <f ca="1">Data!R149</f>
        <v>No data</v>
      </c>
      <c r="J24" s="376" t="str">
        <f ca="1">IFERROR(I24/I26,"(-%)")</f>
        <v>(-%)</v>
      </c>
      <c r="K24" s="378" t="str">
        <f ca="1">Data!R199</f>
        <v>No data</v>
      </c>
      <c r="L24" s="355" t="str">
        <f ca="1">IFERROR(K24/K26,"(-%)")</f>
        <v>(-%)</v>
      </c>
    </row>
    <row r="25" spans="2:12" ht="15" customHeight="1" x14ac:dyDescent="0.3">
      <c r="B25" s="409"/>
      <c r="C25" s="390"/>
      <c r="D25" s="392"/>
      <c r="E25" s="394"/>
      <c r="F25" s="376"/>
      <c r="G25" s="374"/>
      <c r="H25" s="376"/>
      <c r="I25" s="375"/>
      <c r="J25" s="376"/>
      <c r="K25" s="378"/>
      <c r="L25" s="355"/>
    </row>
    <row r="26" spans="2:12" s="33" customFormat="1" ht="21.75" customHeight="1" thickBot="1" x14ac:dyDescent="0.35">
      <c r="B26" s="409"/>
      <c r="C26" s="390"/>
      <c r="D26" s="73" t="s">
        <v>167</v>
      </c>
      <c r="E26" s="395" t="str">
        <f ca="1">Data!S49</f>
        <v>No data</v>
      </c>
      <c r="F26" s="396"/>
      <c r="G26" s="365" t="str">
        <f ca="1">Data!S99</f>
        <v>No data</v>
      </c>
      <c r="H26" s="366"/>
      <c r="I26" s="424" t="str">
        <f ca="1">Data!T149</f>
        <v>No data</v>
      </c>
      <c r="J26" s="367"/>
      <c r="K26" s="426" t="str">
        <f ca="1">Data!T199</f>
        <v>No data</v>
      </c>
      <c r="L26" s="387"/>
    </row>
    <row r="27" spans="2:12" ht="27.75" customHeight="1" thickTop="1" thickBot="1" x14ac:dyDescent="0.35">
      <c r="B27" s="361" t="s">
        <v>3</v>
      </c>
      <c r="C27" s="361" t="s">
        <v>9</v>
      </c>
      <c r="D27" s="362"/>
      <c r="E27" s="363" t="str">
        <f ca="1">Data!U49</f>
        <v>No data</v>
      </c>
      <c r="F27" s="364"/>
      <c r="G27" s="357" t="str">
        <f ca="1">Data!U99</f>
        <v>No data</v>
      </c>
      <c r="H27" s="364"/>
      <c r="I27" s="357" t="str">
        <f ca="1">Data!U149</f>
        <v>No data</v>
      </c>
      <c r="J27" s="364"/>
      <c r="K27" s="359" t="str">
        <f ca="1">Data!U199</f>
        <v>No data</v>
      </c>
      <c r="L27" s="360"/>
    </row>
    <row r="28" spans="2:12" ht="24" customHeight="1" thickTop="1" thickBot="1" x14ac:dyDescent="0.35">
      <c r="B28" s="361"/>
      <c r="C28" s="361" t="s">
        <v>10</v>
      </c>
      <c r="D28" s="362"/>
      <c r="E28" s="363" t="str">
        <f ca="1">Data!V49</f>
        <v>No data</v>
      </c>
      <c r="F28" s="364"/>
      <c r="G28" s="357" t="str">
        <f ca="1">Data!V99</f>
        <v>No data</v>
      </c>
      <c r="H28" s="364"/>
      <c r="I28" s="357" t="str">
        <f ca="1">Data!V149</f>
        <v>No data</v>
      </c>
      <c r="J28" s="364"/>
      <c r="K28" s="359" t="str">
        <f ca="1">Data!V199</f>
        <v>No data</v>
      </c>
      <c r="L28" s="360"/>
    </row>
    <row r="29" spans="2:12" ht="15" thickTop="1" x14ac:dyDescent="0.3"/>
    <row r="30" spans="2:12" x14ac:dyDescent="0.3">
      <c r="B30" s="11"/>
      <c r="C30" s="11"/>
      <c r="D30" s="11"/>
      <c r="E30" s="12"/>
      <c r="F30" s="41"/>
      <c r="G30" s="12"/>
      <c r="H30" s="12"/>
      <c r="I30" s="12"/>
      <c r="J30" s="12"/>
      <c r="K30" s="12"/>
      <c r="L30" s="12"/>
    </row>
    <row r="31" spans="2:12" x14ac:dyDescent="0.3">
      <c r="B31" s="379" t="s">
        <v>44</v>
      </c>
      <c r="C31" s="379"/>
      <c r="D31" s="379"/>
      <c r="E31" s="379"/>
      <c r="F31" s="35"/>
      <c r="G31" s="12"/>
      <c r="H31" s="12"/>
      <c r="I31" s="12"/>
      <c r="J31" s="12"/>
      <c r="K31" s="12"/>
      <c r="L31" s="12"/>
    </row>
    <row r="32" spans="2:12" x14ac:dyDescent="0.3">
      <c r="B32" s="11"/>
      <c r="C32" s="11"/>
      <c r="D32" s="11"/>
      <c r="E32" s="12"/>
      <c r="F32" s="41"/>
      <c r="G32" s="12"/>
      <c r="H32" s="12"/>
      <c r="I32" s="12"/>
      <c r="J32" s="12"/>
      <c r="K32" s="12"/>
      <c r="L32" s="12"/>
    </row>
    <row r="33" spans="2:12" x14ac:dyDescent="0.3">
      <c r="B33" s="11"/>
      <c r="C33" s="11"/>
      <c r="D33" s="11"/>
      <c r="E33" s="12"/>
      <c r="F33" s="41"/>
      <c r="G33" s="12"/>
      <c r="H33" s="12"/>
      <c r="I33" s="12"/>
      <c r="J33" s="12"/>
      <c r="K33" s="12"/>
      <c r="L33" s="12"/>
    </row>
    <row r="34" spans="2:12" x14ac:dyDescent="0.3">
      <c r="B34" s="11"/>
      <c r="C34" s="11"/>
      <c r="D34" s="11"/>
      <c r="E34" s="12"/>
      <c r="F34" s="41"/>
      <c r="G34" s="12"/>
      <c r="H34" s="12"/>
      <c r="I34" s="12"/>
      <c r="J34" s="12"/>
      <c r="K34" s="12"/>
      <c r="L34" s="12"/>
    </row>
    <row r="35" spans="2:12" x14ac:dyDescent="0.3">
      <c r="B35" s="11"/>
      <c r="C35" s="11"/>
      <c r="D35" s="11"/>
      <c r="E35" s="12"/>
      <c r="F35" s="41"/>
      <c r="G35" s="12"/>
      <c r="H35" s="12"/>
      <c r="I35" s="12"/>
      <c r="J35" s="12"/>
      <c r="K35" s="12"/>
      <c r="L35" s="12"/>
    </row>
    <row r="36" spans="2:12" x14ac:dyDescent="0.3">
      <c r="B36" s="11"/>
      <c r="C36" s="11"/>
      <c r="D36" s="11"/>
      <c r="E36" s="12"/>
      <c r="F36" s="41"/>
      <c r="G36" s="12"/>
      <c r="H36" s="12"/>
      <c r="I36" s="12"/>
      <c r="J36" s="12"/>
      <c r="K36" s="12"/>
      <c r="L36" s="12"/>
    </row>
    <row r="37" spans="2:12" x14ac:dyDescent="0.3">
      <c r="B37" s="11"/>
      <c r="C37" s="11"/>
      <c r="D37" s="11"/>
      <c r="E37" s="12"/>
      <c r="F37" s="41"/>
      <c r="G37" s="12"/>
      <c r="H37" s="12"/>
      <c r="I37" s="12"/>
      <c r="J37" s="12"/>
      <c r="K37" s="12"/>
      <c r="L37" s="12"/>
    </row>
    <row r="38" spans="2:12" x14ac:dyDescent="0.3">
      <c r="B38" s="11"/>
      <c r="C38" s="11"/>
      <c r="D38" s="11"/>
      <c r="E38" s="12"/>
      <c r="F38" s="41"/>
      <c r="G38" s="12"/>
      <c r="H38" s="12"/>
      <c r="I38" s="12"/>
      <c r="J38" s="12"/>
      <c r="K38" s="12"/>
      <c r="L38" s="12"/>
    </row>
    <row r="39" spans="2:12" x14ac:dyDescent="0.3">
      <c r="B39" s="11"/>
      <c r="C39" s="11"/>
      <c r="D39" s="11"/>
      <c r="E39" s="12"/>
      <c r="F39" s="41"/>
      <c r="G39" s="12"/>
      <c r="H39" s="12"/>
      <c r="I39" s="12"/>
      <c r="J39" s="12"/>
      <c r="K39" s="12"/>
      <c r="L39" s="12"/>
    </row>
    <row r="40" spans="2:12" x14ac:dyDescent="0.3">
      <c r="B40" s="11"/>
      <c r="C40" s="11"/>
      <c r="D40" s="11"/>
      <c r="E40" s="12"/>
      <c r="F40" s="41"/>
      <c r="G40" s="12"/>
      <c r="H40" s="12"/>
      <c r="I40" s="12"/>
      <c r="J40" s="12"/>
      <c r="K40" s="12"/>
      <c r="L40" s="12"/>
    </row>
    <row r="41" spans="2:12" x14ac:dyDescent="0.3">
      <c r="B41" s="11"/>
      <c r="C41" s="11"/>
      <c r="D41" s="11"/>
      <c r="E41" s="12"/>
      <c r="F41" s="41"/>
      <c r="G41" s="12"/>
      <c r="H41" s="12"/>
      <c r="I41" s="12"/>
      <c r="J41" s="12"/>
      <c r="K41" s="12"/>
      <c r="L41" s="12"/>
    </row>
    <row r="42" spans="2:12" x14ac:dyDescent="0.3">
      <c r="B42" s="11"/>
      <c r="C42" s="11"/>
      <c r="D42" s="11"/>
      <c r="E42" s="12"/>
      <c r="F42" s="41"/>
      <c r="G42" s="12"/>
      <c r="H42" s="12"/>
      <c r="I42" s="12"/>
      <c r="J42" s="12"/>
      <c r="K42" s="12"/>
      <c r="L42" s="12"/>
    </row>
    <row r="43" spans="2:12" x14ac:dyDescent="0.3">
      <c r="B43" s="11"/>
      <c r="C43" s="11"/>
      <c r="D43" s="11"/>
      <c r="E43" s="12"/>
      <c r="F43" s="41"/>
      <c r="G43" s="12"/>
      <c r="H43" s="12"/>
      <c r="I43" s="12"/>
      <c r="J43" s="12"/>
      <c r="K43" s="12"/>
      <c r="L43" s="12"/>
    </row>
    <row r="44" spans="2:12" x14ac:dyDescent="0.3">
      <c r="B44" s="11"/>
      <c r="C44" s="11"/>
      <c r="D44" s="11"/>
      <c r="E44" s="12"/>
      <c r="F44" s="41"/>
      <c r="G44" s="12"/>
      <c r="H44" s="12"/>
      <c r="I44" s="12"/>
      <c r="J44" s="12"/>
      <c r="K44" s="12"/>
      <c r="L44" s="12"/>
    </row>
    <row r="45" spans="2:12" x14ac:dyDescent="0.3">
      <c r="B45" s="11"/>
      <c r="C45" s="11"/>
      <c r="D45" s="11"/>
      <c r="E45" s="12"/>
      <c r="F45" s="41"/>
      <c r="G45" s="12"/>
      <c r="H45" s="12"/>
      <c r="I45" s="12"/>
      <c r="J45" s="12"/>
      <c r="K45" s="12"/>
      <c r="L45" s="12"/>
    </row>
    <row r="46" spans="2:12" x14ac:dyDescent="0.3">
      <c r="B46" s="11"/>
      <c r="C46" s="11"/>
      <c r="D46" s="11"/>
      <c r="E46" s="12"/>
      <c r="F46" s="41"/>
      <c r="G46" s="12"/>
      <c r="H46" s="12"/>
      <c r="I46" s="12"/>
      <c r="J46" s="12"/>
      <c r="K46" s="12"/>
      <c r="L46" s="12"/>
    </row>
    <row r="47" spans="2:12" x14ac:dyDescent="0.3">
      <c r="B47" s="11"/>
      <c r="C47" s="11"/>
      <c r="D47" s="11"/>
      <c r="E47" s="12"/>
      <c r="F47" s="41"/>
      <c r="G47" s="12"/>
      <c r="H47" s="12"/>
      <c r="I47" s="12"/>
      <c r="J47" s="12"/>
      <c r="K47" s="12"/>
      <c r="L47" s="12"/>
    </row>
    <row r="48" spans="2:12" x14ac:dyDescent="0.3">
      <c r="B48" s="11"/>
      <c r="C48" s="11"/>
      <c r="D48" s="11"/>
      <c r="E48" s="12"/>
      <c r="F48" s="41"/>
      <c r="G48" s="12"/>
      <c r="H48" s="12"/>
      <c r="I48" s="12"/>
      <c r="J48" s="12"/>
      <c r="K48" s="12"/>
      <c r="L48" s="12"/>
    </row>
    <row r="49" spans="2:14" x14ac:dyDescent="0.3">
      <c r="B49" s="11"/>
      <c r="C49" s="11"/>
      <c r="D49" s="11"/>
      <c r="E49" s="12"/>
      <c r="F49" s="41"/>
      <c r="G49" s="12"/>
      <c r="H49" s="12"/>
      <c r="I49" s="12"/>
      <c r="J49" s="12"/>
      <c r="K49" s="12"/>
      <c r="L49" s="12"/>
    </row>
    <row r="50" spans="2:14" x14ac:dyDescent="0.3">
      <c r="B50" s="11"/>
      <c r="C50" s="11"/>
      <c r="D50" s="11"/>
      <c r="E50" s="12"/>
      <c r="F50" s="41"/>
      <c r="G50" s="12"/>
      <c r="H50" s="12"/>
      <c r="I50" s="12"/>
      <c r="J50" s="12"/>
      <c r="K50" s="12"/>
      <c r="L50" s="12"/>
    </row>
    <row r="51" spans="2:14" x14ac:dyDescent="0.3">
      <c r="B51" s="11"/>
      <c r="C51" s="11"/>
      <c r="D51" s="11"/>
      <c r="E51" s="12"/>
      <c r="F51" s="41"/>
      <c r="G51" s="12"/>
      <c r="H51" s="12"/>
      <c r="I51" s="12"/>
      <c r="J51" s="12"/>
      <c r="K51" s="12"/>
      <c r="L51" s="12"/>
    </row>
    <row r="52" spans="2:14" s="33" customFormat="1" ht="22.5" customHeight="1" x14ac:dyDescent="0.3">
      <c r="B52" s="90" t="s">
        <v>97</v>
      </c>
      <c r="C52" s="12"/>
      <c r="D52" s="11"/>
      <c r="E52" s="11"/>
      <c r="F52" s="12"/>
      <c r="G52" s="41"/>
      <c r="H52" s="12"/>
      <c r="I52" s="12"/>
      <c r="J52" s="12"/>
      <c r="K52" s="12"/>
      <c r="L52" s="12"/>
    </row>
    <row r="53" spans="2:14" x14ac:dyDescent="0.3">
      <c r="B53" s="11"/>
      <c r="C53" s="11"/>
      <c r="D53" s="11"/>
      <c r="E53" s="12"/>
      <c r="F53" s="41"/>
      <c r="G53" s="12"/>
      <c r="H53" s="12"/>
      <c r="I53" s="12"/>
      <c r="J53" s="12"/>
      <c r="K53" s="12"/>
      <c r="L53" s="12"/>
      <c r="M53" s="33"/>
      <c r="N53" s="33"/>
    </row>
    <row r="54" spans="2:14" x14ac:dyDescent="0.3">
      <c r="B54" s="11"/>
      <c r="C54" s="11"/>
      <c r="D54" s="11"/>
      <c r="E54" s="12"/>
      <c r="F54" s="41"/>
      <c r="G54" s="12"/>
      <c r="H54" s="12"/>
      <c r="I54" s="12"/>
      <c r="J54" s="12"/>
      <c r="K54" s="12"/>
      <c r="L54" s="12"/>
    </row>
    <row r="55" spans="2:14" x14ac:dyDescent="0.3">
      <c r="B55" s="11"/>
      <c r="C55" s="11"/>
      <c r="D55" s="11"/>
      <c r="E55" s="12"/>
      <c r="F55" s="41"/>
      <c r="G55" s="12"/>
      <c r="H55" s="12"/>
      <c r="I55" s="12"/>
      <c r="J55" s="12"/>
      <c r="K55" s="12"/>
      <c r="L55" s="12"/>
    </row>
    <row r="56" spans="2:14" x14ac:dyDescent="0.3">
      <c r="B56" s="11"/>
      <c r="C56" s="11"/>
      <c r="D56" s="11"/>
      <c r="E56" s="12"/>
      <c r="F56" s="41"/>
      <c r="G56" s="12"/>
      <c r="H56" s="12"/>
      <c r="I56" s="12"/>
      <c r="J56" s="12"/>
      <c r="K56" s="12"/>
      <c r="L56" s="12"/>
    </row>
    <row r="57" spans="2:14" x14ac:dyDescent="0.3">
      <c r="B57" s="11"/>
      <c r="C57" s="11"/>
      <c r="D57" s="11"/>
      <c r="E57" s="12"/>
      <c r="F57" s="41"/>
      <c r="G57" s="12"/>
      <c r="H57" s="12"/>
      <c r="I57" s="12"/>
      <c r="J57" s="12"/>
      <c r="K57" s="12"/>
      <c r="L57" s="12"/>
    </row>
    <row r="58" spans="2:14" x14ac:dyDescent="0.3">
      <c r="B58" s="11"/>
      <c r="C58" s="11"/>
      <c r="D58" s="11"/>
      <c r="E58" s="12"/>
      <c r="F58" s="41"/>
      <c r="G58" s="12"/>
      <c r="H58" s="12"/>
      <c r="I58" s="12"/>
      <c r="J58" s="12"/>
      <c r="K58" s="12"/>
      <c r="L58" s="12"/>
    </row>
    <row r="59" spans="2:14" x14ac:dyDescent="0.3">
      <c r="B59" s="11"/>
      <c r="C59" s="11"/>
      <c r="D59" s="11"/>
      <c r="E59" s="12"/>
      <c r="F59" s="41"/>
      <c r="G59" s="12"/>
      <c r="H59" s="12"/>
      <c r="I59" s="12"/>
      <c r="J59" s="12"/>
      <c r="K59" s="12"/>
      <c r="L59" s="12"/>
    </row>
    <row r="60" spans="2:14" x14ac:dyDescent="0.3">
      <c r="B60" s="11"/>
      <c r="C60" s="11"/>
      <c r="D60" s="11"/>
      <c r="E60" s="12"/>
      <c r="F60" s="41"/>
      <c r="G60" s="12"/>
      <c r="H60" s="12"/>
      <c r="I60" s="12"/>
      <c r="J60" s="12"/>
      <c r="K60" s="12"/>
      <c r="L60" s="12"/>
    </row>
    <row r="61" spans="2:14" x14ac:dyDescent="0.3">
      <c r="B61" s="11"/>
      <c r="C61" s="11"/>
      <c r="D61" s="11"/>
      <c r="E61" s="12"/>
      <c r="F61" s="41"/>
      <c r="G61" s="12"/>
      <c r="H61" s="12"/>
      <c r="I61" s="12"/>
      <c r="J61" s="12"/>
      <c r="K61" s="12"/>
      <c r="L61" s="12"/>
    </row>
    <row r="62" spans="2:14" x14ac:dyDescent="0.3">
      <c r="B62" s="11"/>
      <c r="C62" s="11"/>
      <c r="D62" s="11"/>
      <c r="E62" s="12"/>
      <c r="F62" s="41"/>
      <c r="G62" s="12"/>
      <c r="H62" s="12"/>
      <c r="I62" s="12"/>
      <c r="J62" s="12"/>
      <c r="K62" s="12"/>
      <c r="L62" s="12"/>
    </row>
    <row r="63" spans="2:14" x14ac:dyDescent="0.3">
      <c r="B63" s="11"/>
      <c r="C63" s="11"/>
      <c r="D63" s="11"/>
      <c r="E63" s="12"/>
      <c r="F63" s="41"/>
      <c r="G63" s="12"/>
      <c r="H63" s="12"/>
      <c r="I63" s="12"/>
      <c r="J63" s="12"/>
      <c r="K63" s="12"/>
      <c r="L63" s="12"/>
    </row>
    <row r="64" spans="2:14" x14ac:dyDescent="0.3">
      <c r="B64" s="11"/>
      <c r="C64" s="11"/>
      <c r="D64" s="11"/>
      <c r="E64" s="12"/>
      <c r="F64" s="41"/>
      <c r="G64" s="12"/>
      <c r="H64" s="12"/>
      <c r="I64" s="12"/>
      <c r="J64" s="12"/>
      <c r="K64" s="12"/>
      <c r="L64" s="12"/>
    </row>
    <row r="65" spans="2:12" x14ac:dyDescent="0.3">
      <c r="B65" s="11"/>
      <c r="C65" s="11"/>
      <c r="D65" s="11"/>
      <c r="E65" s="12"/>
      <c r="F65" s="41"/>
      <c r="G65" s="12"/>
      <c r="H65" s="12"/>
      <c r="I65" s="12"/>
      <c r="J65" s="12"/>
      <c r="K65" s="12"/>
      <c r="L65" s="12"/>
    </row>
    <row r="66" spans="2:12" x14ac:dyDescent="0.3">
      <c r="B66" s="11"/>
      <c r="C66" s="11"/>
      <c r="D66" s="11"/>
      <c r="E66" s="12"/>
      <c r="F66" s="41"/>
      <c r="G66" s="12"/>
      <c r="H66" s="12"/>
      <c r="I66" s="12"/>
      <c r="J66" s="12"/>
      <c r="K66" s="12"/>
      <c r="L66" s="12"/>
    </row>
    <row r="67" spans="2:12" x14ac:dyDescent="0.3">
      <c r="B67" s="11"/>
      <c r="C67" s="11"/>
      <c r="D67" s="11"/>
      <c r="E67" s="12"/>
      <c r="F67" s="41"/>
      <c r="G67" s="12"/>
      <c r="H67" s="12"/>
      <c r="I67" s="12"/>
      <c r="J67" s="12"/>
      <c r="K67" s="12"/>
      <c r="L67" s="12"/>
    </row>
    <row r="68" spans="2:12" x14ac:dyDescent="0.3">
      <c r="B68" s="11"/>
      <c r="C68" s="11"/>
      <c r="D68" s="11"/>
      <c r="E68" s="12"/>
      <c r="F68" s="41"/>
      <c r="G68" s="12"/>
      <c r="H68" s="12"/>
      <c r="I68" s="12"/>
      <c r="J68" s="12"/>
      <c r="K68" s="12"/>
      <c r="L68" s="12"/>
    </row>
    <row r="69" spans="2:12" x14ac:dyDescent="0.3">
      <c r="B69" s="11"/>
      <c r="C69" s="11"/>
      <c r="D69" s="11"/>
      <c r="E69" s="12"/>
      <c r="F69" s="41"/>
      <c r="G69" s="12"/>
      <c r="H69" s="12"/>
      <c r="I69" s="12"/>
      <c r="J69" s="12"/>
      <c r="K69" s="12"/>
      <c r="L69" s="12"/>
    </row>
    <row r="70" spans="2:12" x14ac:dyDescent="0.3">
      <c r="B70" s="11"/>
      <c r="C70" s="11"/>
      <c r="D70" s="11"/>
      <c r="E70" s="12"/>
      <c r="F70" s="41"/>
      <c r="G70" s="12"/>
      <c r="H70" s="12"/>
      <c r="I70" s="12"/>
      <c r="J70" s="12"/>
      <c r="K70" s="12"/>
      <c r="L70" s="12"/>
    </row>
    <row r="71" spans="2:12" x14ac:dyDescent="0.3">
      <c r="B71" s="90" t="s">
        <v>98</v>
      </c>
      <c r="C71" s="11"/>
      <c r="D71" s="11"/>
      <c r="E71" s="12"/>
      <c r="F71" s="41"/>
      <c r="G71" s="12"/>
      <c r="H71" s="12"/>
      <c r="I71" s="12"/>
      <c r="J71" s="12"/>
      <c r="K71" s="12"/>
      <c r="L71" s="12"/>
    </row>
    <row r="72" spans="2:12" x14ac:dyDescent="0.3">
      <c r="B72" s="11"/>
      <c r="C72" s="11"/>
      <c r="D72" s="11"/>
      <c r="E72" s="12"/>
      <c r="F72" s="41"/>
      <c r="G72" s="12"/>
      <c r="H72" s="12"/>
      <c r="I72" s="12"/>
      <c r="J72" s="12"/>
      <c r="K72" s="12"/>
      <c r="L72" s="12"/>
    </row>
    <row r="73" spans="2:12" x14ac:dyDescent="0.3">
      <c r="B73" s="11"/>
      <c r="C73" s="11"/>
      <c r="D73" s="11"/>
      <c r="E73" s="12"/>
      <c r="F73" s="41"/>
      <c r="G73" s="12"/>
      <c r="H73" s="12"/>
      <c r="I73" s="12"/>
      <c r="J73" s="12"/>
      <c r="K73" s="12"/>
      <c r="L73" s="12"/>
    </row>
    <row r="74" spans="2:12" x14ac:dyDescent="0.3">
      <c r="B74" s="11"/>
      <c r="C74" s="11"/>
      <c r="D74" s="11"/>
      <c r="E74" s="12"/>
      <c r="F74" s="41"/>
      <c r="G74" s="12"/>
      <c r="H74" s="12"/>
      <c r="I74" s="12"/>
      <c r="J74" s="12"/>
      <c r="K74" s="12"/>
      <c r="L74" s="12"/>
    </row>
    <row r="75" spans="2:12" x14ac:dyDescent="0.3">
      <c r="B75" s="11"/>
      <c r="C75" s="11"/>
      <c r="D75" s="11"/>
      <c r="E75" s="12"/>
      <c r="F75" s="41"/>
      <c r="G75" s="12"/>
      <c r="H75" s="12"/>
      <c r="I75" s="12"/>
      <c r="J75" s="12"/>
      <c r="K75" s="12"/>
      <c r="L75" s="12"/>
    </row>
    <row r="76" spans="2:12" x14ac:dyDescent="0.3">
      <c r="B76" s="11"/>
      <c r="C76" s="11"/>
      <c r="D76" s="11"/>
      <c r="E76" s="12"/>
      <c r="F76" s="41"/>
      <c r="G76" s="12"/>
      <c r="H76" s="12"/>
      <c r="I76" s="12"/>
      <c r="J76" s="12"/>
      <c r="K76" s="12"/>
      <c r="L76" s="12"/>
    </row>
    <row r="77" spans="2:12" x14ac:dyDescent="0.3">
      <c r="B77" s="11"/>
      <c r="C77" s="11"/>
      <c r="D77" s="11"/>
      <c r="E77" s="12"/>
      <c r="F77" s="41"/>
      <c r="G77" s="12"/>
      <c r="H77" s="12"/>
      <c r="I77" s="12"/>
      <c r="J77" s="12"/>
      <c r="K77" s="12"/>
      <c r="L77" s="12"/>
    </row>
    <row r="78" spans="2:12" x14ac:dyDescent="0.3">
      <c r="B78" s="11"/>
      <c r="C78" s="11"/>
      <c r="D78" s="11"/>
      <c r="E78" s="12"/>
      <c r="F78" s="41"/>
      <c r="G78" s="12"/>
      <c r="H78" s="12"/>
      <c r="I78" s="12"/>
      <c r="J78" s="12"/>
      <c r="K78" s="12"/>
      <c r="L78" s="12"/>
    </row>
    <row r="79" spans="2:12" x14ac:dyDescent="0.3">
      <c r="B79" s="11"/>
      <c r="C79" s="11"/>
      <c r="D79" s="11"/>
      <c r="E79" s="12"/>
      <c r="F79" s="41"/>
      <c r="G79" s="12"/>
      <c r="H79" s="12"/>
      <c r="I79" s="12"/>
      <c r="J79" s="12"/>
      <c r="K79" s="12"/>
      <c r="L79" s="12"/>
    </row>
    <row r="80" spans="2:12" x14ac:dyDescent="0.3">
      <c r="B80" s="11"/>
      <c r="C80" s="11"/>
      <c r="D80" s="11"/>
      <c r="E80" s="12"/>
      <c r="F80" s="41"/>
      <c r="G80" s="12"/>
      <c r="H80" s="12"/>
      <c r="I80" s="12"/>
      <c r="J80" s="12"/>
      <c r="K80" s="12"/>
      <c r="L80" s="12"/>
    </row>
    <row r="81" spans="2:12" x14ac:dyDescent="0.3">
      <c r="B81" s="11"/>
      <c r="C81" s="11"/>
      <c r="D81" s="11"/>
      <c r="E81" s="12"/>
      <c r="F81" s="41"/>
      <c r="G81" s="12"/>
      <c r="H81" s="12"/>
      <c r="I81" s="12"/>
      <c r="J81" s="12"/>
      <c r="K81" s="12"/>
      <c r="L81" s="12"/>
    </row>
    <row r="82" spans="2:12" x14ac:dyDescent="0.3">
      <c r="B82" s="11"/>
      <c r="C82" s="11"/>
      <c r="D82" s="11"/>
      <c r="E82" s="12"/>
      <c r="F82" s="41"/>
      <c r="G82" s="12"/>
      <c r="H82" s="12"/>
      <c r="I82" s="12"/>
      <c r="J82" s="12"/>
      <c r="K82" s="12"/>
      <c r="L82" s="12"/>
    </row>
    <row r="83" spans="2:12" x14ac:dyDescent="0.3">
      <c r="B83" s="11"/>
      <c r="C83" s="11"/>
      <c r="D83" s="11"/>
      <c r="E83" s="12"/>
      <c r="F83" s="41"/>
      <c r="G83" s="12"/>
      <c r="H83" s="12"/>
      <c r="I83" s="12"/>
      <c r="J83" s="12"/>
      <c r="K83" s="12"/>
      <c r="L83" s="12"/>
    </row>
    <row r="84" spans="2:12" x14ac:dyDescent="0.3">
      <c r="B84" s="11"/>
      <c r="C84" s="11"/>
      <c r="D84" s="11"/>
      <c r="E84" s="12"/>
      <c r="F84" s="41"/>
      <c r="G84" s="12"/>
      <c r="H84" s="12"/>
      <c r="I84" s="12"/>
      <c r="J84" s="12"/>
      <c r="K84" s="12"/>
      <c r="L84" s="12"/>
    </row>
    <row r="85" spans="2:12" x14ac:dyDescent="0.3">
      <c r="B85" s="11"/>
      <c r="C85" s="11"/>
      <c r="D85" s="11"/>
      <c r="E85" s="12"/>
      <c r="F85" s="41"/>
      <c r="G85" s="12"/>
      <c r="H85" s="12"/>
      <c r="I85" s="12"/>
      <c r="J85" s="12"/>
      <c r="K85" s="12"/>
      <c r="L85" s="12"/>
    </row>
    <row r="86" spans="2:12" x14ac:dyDescent="0.3">
      <c r="B86" s="11"/>
      <c r="C86" s="11"/>
      <c r="D86" s="11"/>
      <c r="E86" s="12"/>
      <c r="F86" s="41"/>
      <c r="G86" s="12"/>
      <c r="H86" s="12"/>
      <c r="I86" s="12"/>
      <c r="J86" s="12"/>
      <c r="K86" s="12"/>
      <c r="L86" s="12"/>
    </row>
    <row r="87" spans="2:12" x14ac:dyDescent="0.3">
      <c r="B87" s="11"/>
      <c r="C87" s="11"/>
      <c r="D87" s="11"/>
      <c r="E87" s="12"/>
      <c r="F87" s="41"/>
      <c r="G87" s="12"/>
      <c r="H87" s="12"/>
      <c r="I87" s="12"/>
      <c r="J87" s="12"/>
      <c r="K87" s="12"/>
      <c r="L87" s="12"/>
    </row>
    <row r="88" spans="2:12" x14ac:dyDescent="0.3">
      <c r="B88" s="11"/>
      <c r="C88" s="11"/>
      <c r="D88" s="11"/>
      <c r="E88" s="12"/>
      <c r="F88" s="41"/>
      <c r="G88" s="12"/>
      <c r="H88" s="12"/>
      <c r="I88" s="12"/>
      <c r="J88" s="12"/>
      <c r="K88" s="12"/>
      <c r="L88" s="12"/>
    </row>
    <row r="89" spans="2:12" x14ac:dyDescent="0.3">
      <c r="B89" s="11"/>
      <c r="C89" s="11"/>
      <c r="D89" s="11"/>
      <c r="E89" s="12"/>
      <c r="F89" s="41"/>
      <c r="G89" s="12"/>
      <c r="H89" s="12"/>
      <c r="I89" s="12"/>
      <c r="J89" s="12"/>
      <c r="K89" s="12"/>
      <c r="L89" s="12"/>
    </row>
    <row r="90" spans="2:12" x14ac:dyDescent="0.3">
      <c r="B90" s="11"/>
      <c r="C90" s="11"/>
      <c r="D90" s="11"/>
      <c r="E90" s="12"/>
      <c r="F90" s="41"/>
      <c r="G90" s="12"/>
      <c r="H90" s="12"/>
      <c r="I90" s="12"/>
      <c r="J90" s="12"/>
      <c r="K90" s="12"/>
      <c r="L90" s="12"/>
    </row>
    <row r="91" spans="2:12" x14ac:dyDescent="0.3"/>
    <row r="92" spans="2:12" x14ac:dyDescent="0.3"/>
  </sheetData>
  <sheetProtection algorithmName="SHA-512" hashValue="fHDHaB+wIFriOZwp+aVPBtBRD8MTBLihz+zo3aueqp4b8VaZAcatU8JHCu9ahLXz78uazp2RBNKro+FEliDK2A==" saltValue="ZEIWIa3ZtSiWvEwiLL57tA==" spinCount="100000" sheet="1" objects="1" scenarios="1" selectLockedCells="1"/>
  <mergeCells count="96">
    <mergeCell ref="F3:J4"/>
    <mergeCell ref="B3:B4"/>
    <mergeCell ref="C27:D27"/>
    <mergeCell ref="C28:D28"/>
    <mergeCell ref="E19:F19"/>
    <mergeCell ref="C13:C19"/>
    <mergeCell ref="G15:G16"/>
    <mergeCell ref="F17:F18"/>
    <mergeCell ref="G17:G18"/>
    <mergeCell ref="H15:H16"/>
    <mergeCell ref="I15:I16"/>
    <mergeCell ref="J15:J16"/>
    <mergeCell ref="E26:F26"/>
    <mergeCell ref="D13:D14"/>
    <mergeCell ref="B6:D6"/>
    <mergeCell ref="B7:B12"/>
    <mergeCell ref="L20:L21"/>
    <mergeCell ref="K20:K21"/>
    <mergeCell ref="J20:J21"/>
    <mergeCell ref="E24:E25"/>
    <mergeCell ref="F24:F25"/>
    <mergeCell ref="G24:G25"/>
    <mergeCell ref="H24:H25"/>
    <mergeCell ref="I24:I25"/>
    <mergeCell ref="J24:J25"/>
    <mergeCell ref="K24:K25"/>
    <mergeCell ref="L24:L25"/>
    <mergeCell ref="G20:G21"/>
    <mergeCell ref="K22:K23"/>
    <mergeCell ref="E20:E21"/>
    <mergeCell ref="F20:F21"/>
    <mergeCell ref="K15:K16"/>
    <mergeCell ref="H17:H18"/>
    <mergeCell ref="I17:I18"/>
    <mergeCell ref="J17:J18"/>
    <mergeCell ref="K17:K18"/>
    <mergeCell ref="B31:E31"/>
    <mergeCell ref="B27:B28"/>
    <mergeCell ref="E22:E23"/>
    <mergeCell ref="F22:F23"/>
    <mergeCell ref="G22:G23"/>
    <mergeCell ref="D22:D23"/>
    <mergeCell ref="D24:D25"/>
    <mergeCell ref="C20:C26"/>
    <mergeCell ref="B13:B26"/>
    <mergeCell ref="E13:E14"/>
    <mergeCell ref="F13:F14"/>
    <mergeCell ref="E15:E16"/>
    <mergeCell ref="E17:E18"/>
    <mergeCell ref="D15:D16"/>
    <mergeCell ref="D17:D18"/>
    <mergeCell ref="D20:D21"/>
    <mergeCell ref="H13:H14"/>
    <mergeCell ref="G7:H9"/>
    <mergeCell ref="E6:F6"/>
    <mergeCell ref="C7:D9"/>
    <mergeCell ref="C10:D12"/>
    <mergeCell ref="E7:F9"/>
    <mergeCell ref="E10:F12"/>
    <mergeCell ref="L1:M1"/>
    <mergeCell ref="G26:H26"/>
    <mergeCell ref="G19:H19"/>
    <mergeCell ref="H20:H21"/>
    <mergeCell ref="F15:F16"/>
    <mergeCell ref="K6:L6"/>
    <mergeCell ref="K13:K14"/>
    <mergeCell ref="I22:I23"/>
    <mergeCell ref="I20:I21"/>
    <mergeCell ref="L22:L23"/>
    <mergeCell ref="L15:L16"/>
    <mergeCell ref="L17:L18"/>
    <mergeCell ref="L13:L14"/>
    <mergeCell ref="J22:J23"/>
    <mergeCell ref="I13:I14"/>
    <mergeCell ref="J13:J14"/>
    <mergeCell ref="E27:F27"/>
    <mergeCell ref="E28:F28"/>
    <mergeCell ref="G27:H27"/>
    <mergeCell ref="G28:H28"/>
    <mergeCell ref="H22:H23"/>
    <mergeCell ref="I27:J27"/>
    <mergeCell ref="I28:J28"/>
    <mergeCell ref="K27:L27"/>
    <mergeCell ref="K28:L28"/>
    <mergeCell ref="G6:H6"/>
    <mergeCell ref="I6:J6"/>
    <mergeCell ref="I26:J26"/>
    <mergeCell ref="K7:L9"/>
    <mergeCell ref="K10:L12"/>
    <mergeCell ref="K19:L19"/>
    <mergeCell ref="K26:L26"/>
    <mergeCell ref="G10:H12"/>
    <mergeCell ref="I7:J9"/>
    <mergeCell ref="I10:J12"/>
    <mergeCell ref="I19:J19"/>
    <mergeCell ref="G13:G14"/>
  </mergeCells>
  <conditionalFormatting sqref="F3:J4">
    <cfRule type="expression" dxfId="0" priority="1">
      <formula>OR(PaedChoice=2,PaedChoice=11)</formula>
    </cfRule>
  </conditionalFormatting>
  <hyperlinks>
    <hyperlink ref="L1:M1" location="'Front Page'!A1" display="Return to Contents" xr:uid="{00000000-0004-0000-0F00-000000000000}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4" name="Drop Down 5">
              <controlPr defaultSize="0" autoLine="0" autoPict="0">
                <anchor moveWithCells="1">
                  <from>
                    <xdr:col>9</xdr:col>
                    <xdr:colOff>106680</xdr:colOff>
                    <xdr:row>29</xdr:row>
                    <xdr:rowOff>68580</xdr:rowOff>
                  </from>
                  <to>
                    <xdr:col>11</xdr:col>
                    <xdr:colOff>403860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5" name="Drop Down 6">
              <controlPr defaultSize="0" autoLine="0" autoPict="0">
                <anchor moveWithCells="1">
                  <from>
                    <xdr:col>2</xdr:col>
                    <xdr:colOff>106680</xdr:colOff>
                    <xdr:row>2</xdr:row>
                    <xdr:rowOff>22860</xdr:rowOff>
                  </from>
                  <to>
                    <xdr:col>4</xdr:col>
                    <xdr:colOff>502920</xdr:colOff>
                    <xdr:row>3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F0000"/>
  </sheetPr>
  <dimension ref="A1:V202"/>
  <sheetViews>
    <sheetView topLeftCell="A89" zoomScale="70" zoomScaleNormal="70" workbookViewId="0">
      <selection activeCell="B115" sqref="B115"/>
    </sheetView>
  </sheetViews>
  <sheetFormatPr defaultColWidth="13.33203125" defaultRowHeight="14.4" x14ac:dyDescent="0.3"/>
  <cols>
    <col min="1" max="1" width="11" style="2" customWidth="1"/>
    <col min="2" max="2" width="60.44140625" style="2" customWidth="1"/>
    <col min="3" max="3" width="17.5546875" style="2" customWidth="1"/>
    <col min="4" max="4" width="13.33203125" style="2"/>
    <col min="5" max="5" width="30.109375" style="2" customWidth="1"/>
    <col min="6" max="16384" width="13.33203125" style="2"/>
  </cols>
  <sheetData>
    <row r="1" spans="1:22" s="7" customFormat="1" ht="21" x14ac:dyDescent="0.3">
      <c r="A1" s="7" t="s">
        <v>8</v>
      </c>
    </row>
    <row r="2" spans="1:22" s="37" customFormat="1" ht="21" x14ac:dyDescent="0.3">
      <c r="A2" s="54" t="s">
        <v>63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2" x14ac:dyDescent="0.3"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  <c r="P3" s="2">
        <v>16</v>
      </c>
      <c r="Q3" s="2">
        <v>17</v>
      </c>
      <c r="R3" s="2">
        <v>18</v>
      </c>
      <c r="S3" s="2">
        <v>19</v>
      </c>
      <c r="T3" s="2">
        <v>20</v>
      </c>
      <c r="U3" s="2">
        <v>21</v>
      </c>
      <c r="V3" s="2">
        <v>22</v>
      </c>
    </row>
    <row r="4" spans="1:22" s="1" customFormat="1" x14ac:dyDescent="0.3">
      <c r="A4" s="24"/>
      <c r="B4" s="99"/>
      <c r="C4" s="430" t="s">
        <v>110</v>
      </c>
      <c r="D4" s="430" t="s">
        <v>111</v>
      </c>
      <c r="E4" s="430" t="s">
        <v>0</v>
      </c>
      <c r="F4" s="430" t="s">
        <v>112</v>
      </c>
      <c r="G4" s="430" t="s">
        <v>42</v>
      </c>
      <c r="H4" s="430"/>
      <c r="I4" s="430" t="s">
        <v>43</v>
      </c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 t="s">
        <v>41</v>
      </c>
      <c r="V4" s="430"/>
    </row>
    <row r="5" spans="1:22" s="1" customFormat="1" x14ac:dyDescent="0.3">
      <c r="A5" s="24"/>
      <c r="B5" s="99"/>
      <c r="C5" s="430"/>
      <c r="D5" s="430"/>
      <c r="E5" s="430"/>
      <c r="F5" s="430"/>
      <c r="G5" s="430" t="s">
        <v>1</v>
      </c>
      <c r="H5" s="430" t="s">
        <v>2</v>
      </c>
      <c r="I5" s="430" t="s">
        <v>1</v>
      </c>
      <c r="J5" s="430"/>
      <c r="K5" s="430"/>
      <c r="L5" s="430"/>
      <c r="M5" s="430"/>
      <c r="N5" s="430"/>
      <c r="O5" s="430" t="s">
        <v>40</v>
      </c>
      <c r="P5" s="430"/>
      <c r="Q5" s="430"/>
      <c r="R5" s="430"/>
      <c r="S5" s="430"/>
      <c r="T5" s="430"/>
      <c r="U5" s="430" t="s">
        <v>1</v>
      </c>
      <c r="V5" s="430" t="s">
        <v>40</v>
      </c>
    </row>
    <row r="6" spans="1:22" s="24" customFormat="1" ht="28.8" x14ac:dyDescent="0.3">
      <c r="B6" s="99"/>
      <c r="C6" s="430"/>
      <c r="D6" s="430"/>
      <c r="E6" s="430"/>
      <c r="F6" s="430"/>
      <c r="G6" s="430"/>
      <c r="H6" s="430"/>
      <c r="I6" s="99" t="s">
        <v>113</v>
      </c>
      <c r="J6" s="24" t="s">
        <v>37</v>
      </c>
      <c r="K6" s="24" t="s">
        <v>38</v>
      </c>
      <c r="L6" s="38" t="s">
        <v>39</v>
      </c>
      <c r="M6" s="24" t="s">
        <v>114</v>
      </c>
      <c r="N6" s="99" t="s">
        <v>115</v>
      </c>
      <c r="O6" s="99" t="s">
        <v>113</v>
      </c>
      <c r="P6" s="24" t="s">
        <v>37</v>
      </c>
      <c r="Q6" s="24" t="s">
        <v>38</v>
      </c>
      <c r="R6" s="38" t="s">
        <v>39</v>
      </c>
      <c r="S6" s="24" t="s">
        <v>114</v>
      </c>
      <c r="T6" s="99" t="s">
        <v>116</v>
      </c>
      <c r="U6" s="430"/>
      <c r="V6" s="430"/>
    </row>
    <row r="7" spans="1:22" s="36" customFormat="1" x14ac:dyDescent="0.3">
      <c r="A7" s="36">
        <v>1</v>
      </c>
      <c r="B7" s="150" t="str">
        <f t="shared" ref="B7:B23" si="0">VLOOKUP(A7,AdultSites,2)</f>
        <v>Aneurin Bevan UHB, Nevill Hall &amp; Royal Gwent Hospitals</v>
      </c>
      <c r="C7" s="277" t="s">
        <v>195</v>
      </c>
      <c r="D7" s="277">
        <v>2022</v>
      </c>
      <c r="E7" s="52" t="s">
        <v>157</v>
      </c>
      <c r="F7" s="39" t="s">
        <v>11</v>
      </c>
      <c r="G7" s="277">
        <v>0</v>
      </c>
      <c r="H7" s="277">
        <v>0</v>
      </c>
      <c r="I7" s="277">
        <v>0</v>
      </c>
      <c r="J7" s="277">
        <v>0</v>
      </c>
      <c r="K7" s="277">
        <v>0</v>
      </c>
      <c r="L7" s="197">
        <v>0</v>
      </c>
      <c r="M7" s="231">
        <v>0</v>
      </c>
      <c r="N7" s="231">
        <v>0</v>
      </c>
      <c r="O7" s="231">
        <v>16</v>
      </c>
      <c r="P7" s="277">
        <v>28</v>
      </c>
      <c r="Q7" s="277">
        <v>53</v>
      </c>
      <c r="R7" s="197">
        <v>116</v>
      </c>
      <c r="S7" s="231">
        <v>213</v>
      </c>
      <c r="T7" s="231">
        <v>197</v>
      </c>
      <c r="U7" s="193">
        <v>0</v>
      </c>
      <c r="V7" s="193">
        <v>0</v>
      </c>
    </row>
    <row r="8" spans="1:22" s="36" customFormat="1" x14ac:dyDescent="0.3">
      <c r="A8" s="36">
        <v>2</v>
      </c>
      <c r="B8" s="150" t="str">
        <f t="shared" si="0"/>
        <v>University Hospital Wales</v>
      </c>
      <c r="C8" s="277"/>
      <c r="D8" s="277"/>
      <c r="E8" s="52"/>
      <c r="F8" s="39"/>
      <c r="G8" s="277" t="s">
        <v>155</v>
      </c>
      <c r="H8" s="277" t="s">
        <v>155</v>
      </c>
      <c r="I8" s="277" t="s">
        <v>155</v>
      </c>
      <c r="J8" s="277" t="s">
        <v>155</v>
      </c>
      <c r="K8" s="277" t="s">
        <v>155</v>
      </c>
      <c r="L8" s="197" t="s">
        <v>155</v>
      </c>
      <c r="M8" s="231" t="s">
        <v>155</v>
      </c>
      <c r="N8" s="231" t="s">
        <v>155</v>
      </c>
      <c r="O8" s="231" t="s">
        <v>155</v>
      </c>
      <c r="P8" s="277" t="s">
        <v>155</v>
      </c>
      <c r="Q8" s="277" t="s">
        <v>155</v>
      </c>
      <c r="R8" s="197" t="s">
        <v>155</v>
      </c>
      <c r="S8" s="231" t="s">
        <v>155</v>
      </c>
      <c r="T8" s="231" t="s">
        <v>155</v>
      </c>
      <c r="U8" s="193" t="s">
        <v>155</v>
      </c>
      <c r="V8" s="193" t="s">
        <v>155</v>
      </c>
    </row>
    <row r="9" spans="1:22" s="36" customFormat="1" x14ac:dyDescent="0.3">
      <c r="A9" s="36">
        <v>3</v>
      </c>
      <c r="B9" s="150" t="str">
        <f t="shared" si="0"/>
        <v>Cwm Taf Morgannwg UHB, Princess of Wales Hospital</v>
      </c>
      <c r="C9" s="277" t="s">
        <v>195</v>
      </c>
      <c r="D9" s="277">
        <v>2022</v>
      </c>
      <c r="E9" s="52" t="s">
        <v>159</v>
      </c>
      <c r="F9" s="39" t="s">
        <v>11</v>
      </c>
      <c r="G9" s="277">
        <v>0</v>
      </c>
      <c r="H9" s="277">
        <v>0</v>
      </c>
      <c r="I9" s="277">
        <v>0</v>
      </c>
      <c r="J9" s="277">
        <v>0</v>
      </c>
      <c r="K9" s="277">
        <v>0</v>
      </c>
      <c r="L9" s="197">
        <v>0</v>
      </c>
      <c r="M9" s="231">
        <v>0</v>
      </c>
      <c r="N9" s="231">
        <v>0</v>
      </c>
      <c r="O9" s="231">
        <v>38</v>
      </c>
      <c r="P9" s="277">
        <v>41</v>
      </c>
      <c r="Q9" s="277">
        <v>93</v>
      </c>
      <c r="R9" s="197">
        <v>167</v>
      </c>
      <c r="S9" s="231">
        <v>339</v>
      </c>
      <c r="T9" s="231">
        <v>301</v>
      </c>
      <c r="U9" s="193">
        <v>0</v>
      </c>
      <c r="V9" s="193">
        <v>0</v>
      </c>
    </row>
    <row r="10" spans="1:22" s="36" customFormat="1" x14ac:dyDescent="0.3">
      <c r="A10" s="36">
        <v>4</v>
      </c>
      <c r="B10" s="150" t="str">
        <f t="shared" si="0"/>
        <v xml:space="preserve">Cwm Taf Morgannwg UHB, Royal Glamorgan Hospital </v>
      </c>
      <c r="C10" s="277" t="s">
        <v>195</v>
      </c>
      <c r="D10" s="277">
        <v>2022</v>
      </c>
      <c r="E10" s="52" t="s">
        <v>160</v>
      </c>
      <c r="F10" s="39" t="s">
        <v>11</v>
      </c>
      <c r="G10" s="277">
        <v>0</v>
      </c>
      <c r="H10" s="277">
        <v>0</v>
      </c>
      <c r="I10" s="277">
        <v>0</v>
      </c>
      <c r="J10" s="277">
        <v>0</v>
      </c>
      <c r="K10" s="277">
        <v>0</v>
      </c>
      <c r="L10" s="197">
        <v>0</v>
      </c>
      <c r="M10" s="231">
        <v>0</v>
      </c>
      <c r="N10" s="231">
        <v>0</v>
      </c>
      <c r="O10" s="231">
        <v>0</v>
      </c>
      <c r="P10" s="277">
        <v>0</v>
      </c>
      <c r="Q10" s="277">
        <v>0</v>
      </c>
      <c r="R10" s="197">
        <v>0</v>
      </c>
      <c r="S10" s="231">
        <v>0</v>
      </c>
      <c r="T10" s="231">
        <v>0</v>
      </c>
      <c r="U10" s="193">
        <v>0</v>
      </c>
      <c r="V10" s="193">
        <v>0</v>
      </c>
    </row>
    <row r="11" spans="1:22" s="36" customFormat="1" x14ac:dyDescent="0.3">
      <c r="A11" s="36">
        <v>5</v>
      </c>
      <c r="B11" s="150" t="str">
        <f t="shared" si="0"/>
        <v>Cwm Taf Morgannwg UHB, Prince Charles Hospital</v>
      </c>
      <c r="C11" s="277" t="s">
        <v>195</v>
      </c>
      <c r="D11" s="277">
        <v>2022</v>
      </c>
      <c r="E11" s="52" t="s">
        <v>161</v>
      </c>
      <c r="F11" s="39" t="s">
        <v>11</v>
      </c>
      <c r="G11" s="277">
        <v>0</v>
      </c>
      <c r="H11" s="277">
        <v>0</v>
      </c>
      <c r="I11" s="277">
        <v>0</v>
      </c>
      <c r="J11" s="277">
        <v>0</v>
      </c>
      <c r="K11" s="277">
        <v>0</v>
      </c>
      <c r="L11" s="197">
        <v>0</v>
      </c>
      <c r="M11" s="231">
        <v>0</v>
      </c>
      <c r="N11" s="231">
        <v>0</v>
      </c>
      <c r="O11" s="231">
        <v>0</v>
      </c>
      <c r="P11" s="277">
        <v>0</v>
      </c>
      <c r="Q11" s="277">
        <v>0</v>
      </c>
      <c r="R11" s="197">
        <v>0</v>
      </c>
      <c r="S11" s="231">
        <v>0</v>
      </c>
      <c r="T11" s="231">
        <v>0</v>
      </c>
      <c r="U11" s="193">
        <v>0</v>
      </c>
      <c r="V11" s="193">
        <v>0</v>
      </c>
    </row>
    <row r="12" spans="1:22" s="36" customFormat="1" x14ac:dyDescent="0.3">
      <c r="A12" s="36">
        <v>6</v>
      </c>
      <c r="B12" s="150" t="str">
        <f t="shared" si="0"/>
        <v>Hywel Dda UHB, Glangwilli Hospital</v>
      </c>
      <c r="C12" s="277" t="s">
        <v>195</v>
      </c>
      <c r="D12" s="277">
        <v>2022</v>
      </c>
      <c r="E12" s="52" t="s">
        <v>165</v>
      </c>
      <c r="F12" s="39" t="s">
        <v>11</v>
      </c>
      <c r="G12" s="277">
        <v>0</v>
      </c>
      <c r="H12" s="277">
        <v>13</v>
      </c>
      <c r="I12" s="277">
        <v>0</v>
      </c>
      <c r="J12" s="277">
        <v>0</v>
      </c>
      <c r="K12" s="277">
        <v>0</v>
      </c>
      <c r="L12" s="197">
        <v>0</v>
      </c>
      <c r="M12" s="231">
        <v>0</v>
      </c>
      <c r="N12" s="231">
        <v>0</v>
      </c>
      <c r="O12" s="231">
        <v>19</v>
      </c>
      <c r="P12" s="277">
        <v>30</v>
      </c>
      <c r="Q12" s="277">
        <v>53</v>
      </c>
      <c r="R12" s="197">
        <v>53</v>
      </c>
      <c r="S12" s="231">
        <v>155</v>
      </c>
      <c r="T12" s="231">
        <v>136</v>
      </c>
      <c r="U12" s="193">
        <v>0</v>
      </c>
      <c r="V12" s="193">
        <v>7.4999999999999997E-2</v>
      </c>
    </row>
    <row r="13" spans="1:22" s="36" customFormat="1" x14ac:dyDescent="0.3">
      <c r="A13" s="36">
        <v>7</v>
      </c>
      <c r="B13" s="150" t="str">
        <f t="shared" si="0"/>
        <v>Hywel Dda UHB, Withybush Hospital</v>
      </c>
      <c r="C13" s="277" t="s">
        <v>195</v>
      </c>
      <c r="D13" s="277">
        <v>2022</v>
      </c>
      <c r="E13" s="52" t="s">
        <v>166</v>
      </c>
      <c r="F13" s="39" t="s">
        <v>11</v>
      </c>
      <c r="G13" s="277">
        <v>0</v>
      </c>
      <c r="H13" s="277">
        <v>0</v>
      </c>
      <c r="I13" s="277">
        <v>0</v>
      </c>
      <c r="J13" s="277">
        <v>0</v>
      </c>
      <c r="K13" s="277">
        <v>0</v>
      </c>
      <c r="L13" s="197">
        <v>0</v>
      </c>
      <c r="M13" s="231">
        <v>0</v>
      </c>
      <c r="N13" s="231">
        <v>0</v>
      </c>
      <c r="O13" s="231">
        <v>4</v>
      </c>
      <c r="P13" s="277">
        <v>0</v>
      </c>
      <c r="Q13" s="277">
        <v>3</v>
      </c>
      <c r="R13" s="197">
        <v>1</v>
      </c>
      <c r="S13" s="231">
        <v>8</v>
      </c>
      <c r="T13" s="231">
        <v>4</v>
      </c>
      <c r="U13" s="193">
        <v>0</v>
      </c>
      <c r="V13" s="193">
        <v>0</v>
      </c>
    </row>
    <row r="14" spans="1:22" s="36" customFormat="1" x14ac:dyDescent="0.3">
      <c r="A14" s="36">
        <v>8</v>
      </c>
      <c r="B14" s="150" t="str">
        <f t="shared" si="0"/>
        <v>Swansea Bay UHB, Morriston / Singleton Hospitals</v>
      </c>
      <c r="C14" s="277" t="s">
        <v>195</v>
      </c>
      <c r="D14" s="277">
        <v>2022</v>
      </c>
      <c r="E14" s="52" t="s">
        <v>162</v>
      </c>
      <c r="F14" s="39" t="s">
        <v>11</v>
      </c>
      <c r="G14" s="277">
        <v>93</v>
      </c>
      <c r="H14" s="277">
        <v>0</v>
      </c>
      <c r="I14" s="277">
        <v>20</v>
      </c>
      <c r="J14" s="277">
        <v>33</v>
      </c>
      <c r="K14" s="277">
        <v>31</v>
      </c>
      <c r="L14" s="197">
        <v>61</v>
      </c>
      <c r="M14" s="231">
        <v>145</v>
      </c>
      <c r="N14" s="231">
        <v>125</v>
      </c>
      <c r="O14" s="231">
        <v>0</v>
      </c>
      <c r="P14" s="277">
        <v>0</v>
      </c>
      <c r="Q14" s="277">
        <v>0</v>
      </c>
      <c r="R14" s="197">
        <v>0</v>
      </c>
      <c r="S14" s="231">
        <v>0</v>
      </c>
      <c r="T14" s="231">
        <v>0</v>
      </c>
      <c r="U14" s="193">
        <v>0</v>
      </c>
      <c r="V14" s="193">
        <v>0</v>
      </c>
    </row>
    <row r="15" spans="1:22" s="36" customFormat="1" x14ac:dyDescent="0.3">
      <c r="A15" s="36">
        <v>9</v>
      </c>
      <c r="B15" s="150" t="str">
        <f t="shared" si="0"/>
        <v xml:space="preserve">Barnstaple, North Devon District Hospital </v>
      </c>
      <c r="C15" s="277" t="s">
        <v>195</v>
      </c>
      <c r="D15" s="277">
        <v>2022</v>
      </c>
      <c r="E15" s="52" t="s">
        <v>58</v>
      </c>
      <c r="F15" s="39" t="s">
        <v>11</v>
      </c>
      <c r="G15" s="277">
        <v>27</v>
      </c>
      <c r="H15" s="277">
        <v>27</v>
      </c>
      <c r="I15" s="277">
        <v>18</v>
      </c>
      <c r="J15" s="277">
        <v>23</v>
      </c>
      <c r="K15" s="277">
        <v>24</v>
      </c>
      <c r="L15" s="197">
        <v>14</v>
      </c>
      <c r="M15" s="231">
        <v>79</v>
      </c>
      <c r="N15" s="231">
        <v>61</v>
      </c>
      <c r="O15" s="231">
        <v>18</v>
      </c>
      <c r="P15" s="277">
        <v>23</v>
      </c>
      <c r="Q15" s="277">
        <v>24</v>
      </c>
      <c r="R15" s="197">
        <v>14</v>
      </c>
      <c r="S15" s="231">
        <v>79</v>
      </c>
      <c r="T15" s="231">
        <v>61</v>
      </c>
      <c r="U15" s="193">
        <v>0.14000000000000001</v>
      </c>
      <c r="V15" s="193">
        <v>0.14000000000000001</v>
      </c>
    </row>
    <row r="16" spans="1:22" s="36" customFormat="1" x14ac:dyDescent="0.3">
      <c r="A16" s="36">
        <v>10</v>
      </c>
      <c r="B16" s="150" t="str">
        <f t="shared" si="0"/>
        <v>Bristol, Bristol Heart Institute</v>
      </c>
      <c r="C16" s="277" t="s">
        <v>195</v>
      </c>
      <c r="D16" s="277">
        <v>2022</v>
      </c>
      <c r="E16" s="52" t="s">
        <v>196</v>
      </c>
      <c r="F16" s="39" t="s">
        <v>11</v>
      </c>
      <c r="G16" s="277">
        <v>22</v>
      </c>
      <c r="H16" s="277" t="s">
        <v>197</v>
      </c>
      <c r="I16" s="277">
        <v>654</v>
      </c>
      <c r="J16" s="277">
        <v>446</v>
      </c>
      <c r="K16" s="277">
        <v>284</v>
      </c>
      <c r="L16" s="197">
        <v>90</v>
      </c>
      <c r="M16" s="231">
        <v>1474</v>
      </c>
      <c r="N16" s="231">
        <v>820</v>
      </c>
      <c r="O16" s="231" t="s">
        <v>197</v>
      </c>
      <c r="P16" s="277" t="s">
        <v>197</v>
      </c>
      <c r="Q16" s="277" t="s">
        <v>197</v>
      </c>
      <c r="R16" s="197" t="s">
        <v>197</v>
      </c>
      <c r="S16" s="231">
        <v>0</v>
      </c>
      <c r="T16" s="231">
        <v>0</v>
      </c>
      <c r="U16" s="193">
        <v>0.08</v>
      </c>
      <c r="V16" s="193">
        <v>0</v>
      </c>
    </row>
    <row r="17" spans="1:22" s="36" customFormat="1" x14ac:dyDescent="0.3">
      <c r="A17" s="36">
        <v>11</v>
      </c>
      <c r="B17" s="150" t="str">
        <f t="shared" si="0"/>
        <v xml:space="preserve">Exeter, Royal Devon and Exeter Hospital </v>
      </c>
      <c r="C17" s="277"/>
      <c r="D17" s="277"/>
      <c r="E17" s="52"/>
      <c r="F17" s="39"/>
      <c r="G17" s="277" t="s">
        <v>155</v>
      </c>
      <c r="H17" s="277" t="s">
        <v>155</v>
      </c>
      <c r="I17" s="277" t="s">
        <v>155</v>
      </c>
      <c r="J17" s="277" t="s">
        <v>155</v>
      </c>
      <c r="K17" s="277" t="s">
        <v>155</v>
      </c>
      <c r="L17" s="197" t="s">
        <v>155</v>
      </c>
      <c r="M17" s="231" t="s">
        <v>155</v>
      </c>
      <c r="N17" s="231" t="s">
        <v>155</v>
      </c>
      <c r="O17" s="231" t="s">
        <v>155</v>
      </c>
      <c r="P17" s="277" t="s">
        <v>155</v>
      </c>
      <c r="Q17" s="277" t="s">
        <v>155</v>
      </c>
      <c r="R17" s="197" t="s">
        <v>155</v>
      </c>
      <c r="S17" s="231" t="s">
        <v>155</v>
      </c>
      <c r="T17" s="231" t="s">
        <v>155</v>
      </c>
      <c r="U17" s="193" t="s">
        <v>155</v>
      </c>
      <c r="V17" s="193" t="s">
        <v>155</v>
      </c>
    </row>
    <row r="18" spans="1:22" s="36" customFormat="1" x14ac:dyDescent="0.3">
      <c r="A18" s="36">
        <v>12</v>
      </c>
      <c r="B18" s="150" t="str">
        <f t="shared" si="0"/>
        <v>Gloucester, Gloucestershire Hospitals</v>
      </c>
      <c r="C18" s="277" t="s">
        <v>195</v>
      </c>
      <c r="D18" s="277">
        <v>2022</v>
      </c>
      <c r="E18" s="52" t="s">
        <v>56</v>
      </c>
      <c r="F18" s="39" t="s">
        <v>11</v>
      </c>
      <c r="G18" s="277">
        <v>13</v>
      </c>
      <c r="H18" s="277">
        <v>13</v>
      </c>
      <c r="I18" s="277">
        <v>15</v>
      </c>
      <c r="J18" s="277">
        <v>4</v>
      </c>
      <c r="K18" s="277">
        <v>31</v>
      </c>
      <c r="L18" s="197">
        <v>24</v>
      </c>
      <c r="M18" s="231">
        <v>74</v>
      </c>
      <c r="N18" s="231">
        <v>59</v>
      </c>
      <c r="O18" s="231">
        <v>15</v>
      </c>
      <c r="P18" s="277">
        <v>4</v>
      </c>
      <c r="Q18" s="277">
        <v>31</v>
      </c>
      <c r="R18" s="197">
        <v>24</v>
      </c>
      <c r="S18" s="231">
        <v>74</v>
      </c>
      <c r="T18" s="231">
        <v>59</v>
      </c>
      <c r="U18" s="193">
        <v>0.148148148148148</v>
      </c>
      <c r="V18" s="193">
        <v>0.148148148148148</v>
      </c>
    </row>
    <row r="19" spans="1:22" s="36" customFormat="1" x14ac:dyDescent="0.3">
      <c r="A19" s="36">
        <v>13</v>
      </c>
      <c r="B19" s="150" t="str">
        <f t="shared" si="0"/>
        <v xml:space="preserve">Plymouth, Derriford Hospital </v>
      </c>
      <c r="C19" s="277"/>
      <c r="D19" s="277"/>
      <c r="E19" s="52"/>
      <c r="F19" s="39"/>
      <c r="G19" s="277" t="s">
        <v>155</v>
      </c>
      <c r="H19" s="277" t="s">
        <v>155</v>
      </c>
      <c r="I19" s="277" t="s">
        <v>155</v>
      </c>
      <c r="J19" s="277" t="s">
        <v>155</v>
      </c>
      <c r="K19" s="277" t="s">
        <v>155</v>
      </c>
      <c r="L19" s="197" t="s">
        <v>155</v>
      </c>
      <c r="M19" s="231" t="s">
        <v>155</v>
      </c>
      <c r="N19" s="231" t="s">
        <v>155</v>
      </c>
      <c r="O19" s="231" t="s">
        <v>155</v>
      </c>
      <c r="P19" s="277" t="s">
        <v>155</v>
      </c>
      <c r="Q19" s="277" t="s">
        <v>155</v>
      </c>
      <c r="R19" s="197" t="s">
        <v>155</v>
      </c>
      <c r="S19" s="231" t="s">
        <v>155</v>
      </c>
      <c r="T19" s="231" t="s">
        <v>155</v>
      </c>
      <c r="U19" s="193" t="s">
        <v>155</v>
      </c>
      <c r="V19" s="193" t="s">
        <v>155</v>
      </c>
    </row>
    <row r="20" spans="1:22" s="36" customFormat="1" x14ac:dyDescent="0.3">
      <c r="A20" s="36">
        <v>14</v>
      </c>
      <c r="B20" s="150" t="str">
        <f t="shared" si="0"/>
        <v xml:space="preserve">Swindon, Great Weston Hospital </v>
      </c>
      <c r="C20" s="277"/>
      <c r="D20" s="277"/>
      <c r="E20" s="52"/>
      <c r="F20" s="39"/>
      <c r="G20" s="277" t="s">
        <v>155</v>
      </c>
      <c r="H20" s="277" t="s">
        <v>155</v>
      </c>
      <c r="I20" s="277" t="s">
        <v>155</v>
      </c>
      <c r="J20" s="277" t="s">
        <v>155</v>
      </c>
      <c r="K20" s="277" t="s">
        <v>155</v>
      </c>
      <c r="L20" s="197" t="s">
        <v>155</v>
      </c>
      <c r="M20" s="231" t="s">
        <v>155</v>
      </c>
      <c r="N20" s="231" t="s">
        <v>155</v>
      </c>
      <c r="O20" s="231" t="s">
        <v>155</v>
      </c>
      <c r="P20" s="277" t="s">
        <v>155</v>
      </c>
      <c r="Q20" s="277" t="s">
        <v>155</v>
      </c>
      <c r="R20" s="197" t="s">
        <v>155</v>
      </c>
      <c r="S20" s="231" t="s">
        <v>155</v>
      </c>
      <c r="T20" s="231" t="s">
        <v>155</v>
      </c>
      <c r="U20" s="193" t="s">
        <v>155</v>
      </c>
      <c r="V20" s="193" t="s">
        <v>155</v>
      </c>
    </row>
    <row r="21" spans="1:22" s="36" customFormat="1" x14ac:dyDescent="0.3">
      <c r="A21" s="36">
        <v>15</v>
      </c>
      <c r="B21" s="150" t="str">
        <f t="shared" si="0"/>
        <v xml:space="preserve">Taunton, Musgrove Park Hospital </v>
      </c>
      <c r="C21" s="277" t="s">
        <v>195</v>
      </c>
      <c r="D21" s="277">
        <v>2022</v>
      </c>
      <c r="E21" s="52" t="s">
        <v>57</v>
      </c>
      <c r="F21" s="39" t="s">
        <v>11</v>
      </c>
      <c r="G21" s="277">
        <v>4</v>
      </c>
      <c r="H21" s="277">
        <v>12</v>
      </c>
      <c r="I21" s="277">
        <v>1</v>
      </c>
      <c r="J21" s="277">
        <v>0</v>
      </c>
      <c r="K21" s="277">
        <v>0</v>
      </c>
      <c r="L21" s="197">
        <v>0</v>
      </c>
      <c r="M21" s="231">
        <v>1</v>
      </c>
      <c r="N21" s="231">
        <v>0</v>
      </c>
      <c r="O21" s="231">
        <v>15</v>
      </c>
      <c r="P21" s="277">
        <v>13</v>
      </c>
      <c r="Q21" s="277">
        <v>0</v>
      </c>
      <c r="R21" s="197">
        <v>0</v>
      </c>
      <c r="S21" s="231">
        <v>28</v>
      </c>
      <c r="T21" s="231">
        <v>13</v>
      </c>
      <c r="U21" s="193">
        <v>0.15</v>
      </c>
      <c r="V21" s="193">
        <v>0.2</v>
      </c>
    </row>
    <row r="22" spans="1:22" s="36" customFormat="1" x14ac:dyDescent="0.3">
      <c r="A22" s="36">
        <v>16</v>
      </c>
      <c r="B22" s="150" t="str">
        <f t="shared" si="0"/>
        <v xml:space="preserve">Torquay, Torbay General District Hospital </v>
      </c>
      <c r="C22" s="277" t="s">
        <v>195</v>
      </c>
      <c r="D22" s="277">
        <v>2022</v>
      </c>
      <c r="E22" s="52" t="s">
        <v>54</v>
      </c>
      <c r="F22" s="39" t="s">
        <v>11</v>
      </c>
      <c r="G22" s="279">
        <v>0</v>
      </c>
      <c r="H22" s="279">
        <v>0</v>
      </c>
      <c r="I22" s="279">
        <v>11</v>
      </c>
      <c r="J22" s="279">
        <v>3</v>
      </c>
      <c r="K22" s="279">
        <v>0</v>
      </c>
      <c r="L22" s="197">
        <v>0</v>
      </c>
      <c r="M22" s="231">
        <v>14</v>
      </c>
      <c r="N22" s="231">
        <v>3</v>
      </c>
      <c r="O22" s="231">
        <v>6</v>
      </c>
      <c r="P22" s="279">
        <v>6</v>
      </c>
      <c r="Q22" s="279">
        <v>7</v>
      </c>
      <c r="R22" s="197">
        <v>0</v>
      </c>
      <c r="S22" s="231">
        <v>19</v>
      </c>
      <c r="T22" s="231">
        <v>13</v>
      </c>
      <c r="U22" s="193">
        <v>2.5000000000000001E-3</v>
      </c>
      <c r="V22" s="193">
        <v>0</v>
      </c>
    </row>
    <row r="23" spans="1:22" s="48" customFormat="1" x14ac:dyDescent="0.3">
      <c r="A23" s="48">
        <v>17</v>
      </c>
      <c r="B23" s="153" t="str">
        <f t="shared" si="0"/>
        <v xml:space="preserve">Truro, Royal Cornwall Hospital </v>
      </c>
      <c r="C23" s="277"/>
      <c r="D23" s="277"/>
      <c r="E23" s="52"/>
      <c r="F23" s="39"/>
      <c r="G23" s="277" t="s">
        <v>155</v>
      </c>
      <c r="H23" s="277" t="s">
        <v>155</v>
      </c>
      <c r="I23" s="277" t="s">
        <v>155</v>
      </c>
      <c r="J23" s="277" t="s">
        <v>155</v>
      </c>
      <c r="K23" s="277" t="s">
        <v>155</v>
      </c>
      <c r="L23" s="197" t="s">
        <v>155</v>
      </c>
      <c r="M23" s="231" t="s">
        <v>155</v>
      </c>
      <c r="N23" s="231" t="s">
        <v>155</v>
      </c>
      <c r="O23" s="231" t="s">
        <v>155</v>
      </c>
      <c r="P23" s="277" t="s">
        <v>155</v>
      </c>
      <c r="Q23" s="277" t="s">
        <v>155</v>
      </c>
      <c r="R23" s="197" t="s">
        <v>155</v>
      </c>
      <c r="S23" s="231" t="s">
        <v>155</v>
      </c>
      <c r="T23" s="231" t="s">
        <v>155</v>
      </c>
      <c r="U23" s="193" t="s">
        <v>155</v>
      </c>
      <c r="V23" s="193" t="s">
        <v>155</v>
      </c>
    </row>
    <row r="24" spans="1:22" s="45" customFormat="1" x14ac:dyDescent="0.3">
      <c r="A24" s="99"/>
      <c r="B24" s="99"/>
      <c r="D24" s="99"/>
      <c r="E24" s="242" t="str">
        <f t="shared" ref="E24:V24" ca="1" si="1">OFFSET(E7,AdultChoice-1,0)</f>
        <v>Aneurin Bevan UHB, Nevill Hall &amp; Royal Gwent Hospitals</v>
      </c>
      <c r="F24" s="243" t="str">
        <f t="shared" ca="1" si="1"/>
        <v>Adults</v>
      </c>
      <c r="G24" s="51">
        <f t="shared" ca="1" si="1"/>
        <v>0</v>
      </c>
      <c r="H24" s="51">
        <f t="shared" ca="1" si="1"/>
        <v>0</v>
      </c>
      <c r="I24" s="51">
        <f t="shared" ca="1" si="1"/>
        <v>0</v>
      </c>
      <c r="J24" s="51">
        <f t="shared" ca="1" si="1"/>
        <v>0</v>
      </c>
      <c r="K24" s="51">
        <f t="shared" ca="1" si="1"/>
        <v>0</v>
      </c>
      <c r="L24" s="51">
        <f t="shared" ca="1" si="1"/>
        <v>0</v>
      </c>
      <c r="M24" s="51">
        <f t="shared" ca="1" si="1"/>
        <v>0</v>
      </c>
      <c r="N24" s="51">
        <f t="shared" ca="1" si="1"/>
        <v>0</v>
      </c>
      <c r="O24" s="51">
        <f t="shared" ca="1" si="1"/>
        <v>16</v>
      </c>
      <c r="P24" s="51">
        <f t="shared" ca="1" si="1"/>
        <v>28</v>
      </c>
      <c r="Q24" s="51">
        <f t="shared" ca="1" si="1"/>
        <v>53</v>
      </c>
      <c r="R24" s="51">
        <f t="shared" ca="1" si="1"/>
        <v>116</v>
      </c>
      <c r="S24" s="51">
        <f t="shared" ca="1" si="1"/>
        <v>213</v>
      </c>
      <c r="T24" s="51">
        <f t="shared" ca="1" si="1"/>
        <v>197</v>
      </c>
      <c r="U24" s="113">
        <f t="shared" ca="1" si="1"/>
        <v>0</v>
      </c>
      <c r="V24" s="113">
        <f t="shared" ca="1" si="1"/>
        <v>0</v>
      </c>
    </row>
    <row r="25" spans="1:22" s="50" customFormat="1" x14ac:dyDescent="0.3">
      <c r="B25" s="98"/>
      <c r="D25" s="98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</row>
    <row r="26" spans="1:22" s="37" customFormat="1" ht="21" x14ac:dyDescent="0.3">
      <c r="A26" s="55" t="s">
        <v>64</v>
      </c>
      <c r="B26" s="55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s="50" customFormat="1" x14ac:dyDescent="0.3">
      <c r="A27" s="2"/>
      <c r="B27" s="2">
        <v>2</v>
      </c>
      <c r="C27" s="2">
        <v>3</v>
      </c>
      <c r="D27" s="2">
        <v>4</v>
      </c>
      <c r="E27" s="2">
        <v>5</v>
      </c>
      <c r="F27" s="2">
        <v>6</v>
      </c>
      <c r="G27" s="2">
        <v>7</v>
      </c>
      <c r="H27" s="2">
        <v>8</v>
      </c>
      <c r="I27" s="2">
        <v>9</v>
      </c>
      <c r="J27" s="2">
        <v>10</v>
      </c>
      <c r="K27" s="2">
        <v>11</v>
      </c>
      <c r="L27" s="2">
        <v>12</v>
      </c>
      <c r="M27" s="2">
        <v>13</v>
      </c>
      <c r="N27" s="2">
        <v>14</v>
      </c>
      <c r="O27" s="2">
        <v>15</v>
      </c>
      <c r="P27" s="2">
        <v>16</v>
      </c>
      <c r="Q27" s="2">
        <v>17</v>
      </c>
      <c r="R27" s="2">
        <v>18</v>
      </c>
      <c r="S27" s="2">
        <v>19</v>
      </c>
      <c r="T27" s="2">
        <v>20</v>
      </c>
      <c r="U27" s="2">
        <v>21</v>
      </c>
      <c r="V27" s="2">
        <v>22</v>
      </c>
    </row>
    <row r="28" spans="1:22" s="45" customFormat="1" x14ac:dyDescent="0.3">
      <c r="A28" s="99"/>
      <c r="B28" s="99"/>
      <c r="C28" s="430" t="s">
        <v>110</v>
      </c>
      <c r="D28" s="430" t="s">
        <v>111</v>
      </c>
      <c r="E28" s="430" t="s">
        <v>0</v>
      </c>
      <c r="F28" s="430" t="s">
        <v>112</v>
      </c>
      <c r="G28" s="430" t="s">
        <v>42</v>
      </c>
      <c r="H28" s="430"/>
      <c r="I28" s="430" t="s">
        <v>43</v>
      </c>
      <c r="J28" s="430"/>
      <c r="K28" s="430"/>
      <c r="L28" s="430"/>
      <c r="M28" s="430"/>
      <c r="N28" s="430"/>
      <c r="O28" s="430"/>
      <c r="P28" s="430"/>
      <c r="Q28" s="430"/>
      <c r="R28" s="430"/>
      <c r="S28" s="430"/>
      <c r="T28" s="430"/>
      <c r="U28" s="430" t="s">
        <v>41</v>
      </c>
      <c r="V28" s="430"/>
    </row>
    <row r="29" spans="1:22" s="45" customFormat="1" x14ac:dyDescent="0.3">
      <c r="A29" s="99"/>
      <c r="B29" s="99"/>
      <c r="C29" s="430"/>
      <c r="D29" s="430"/>
      <c r="E29" s="430"/>
      <c r="F29" s="430"/>
      <c r="G29" s="430" t="s">
        <v>1</v>
      </c>
      <c r="H29" s="430" t="s">
        <v>2</v>
      </c>
      <c r="I29" s="430" t="s">
        <v>1</v>
      </c>
      <c r="J29" s="430"/>
      <c r="K29" s="430"/>
      <c r="L29" s="430"/>
      <c r="M29" s="430"/>
      <c r="N29" s="430"/>
      <c r="O29" s="430" t="s">
        <v>40</v>
      </c>
      <c r="P29" s="430"/>
      <c r="Q29" s="430"/>
      <c r="R29" s="430"/>
      <c r="S29" s="430"/>
      <c r="T29" s="430"/>
      <c r="U29" s="430" t="s">
        <v>1</v>
      </c>
      <c r="V29" s="430" t="s">
        <v>40</v>
      </c>
    </row>
    <row r="30" spans="1:22" s="45" customFormat="1" ht="28.8" x14ac:dyDescent="0.3">
      <c r="A30" s="99"/>
      <c r="B30" s="99"/>
      <c r="C30" s="430"/>
      <c r="D30" s="430"/>
      <c r="E30" s="430"/>
      <c r="F30" s="430"/>
      <c r="G30" s="430"/>
      <c r="H30" s="430"/>
      <c r="I30" s="99" t="s">
        <v>113</v>
      </c>
      <c r="J30" s="99" t="s">
        <v>37</v>
      </c>
      <c r="K30" s="99" t="s">
        <v>38</v>
      </c>
      <c r="L30" s="38" t="s">
        <v>39</v>
      </c>
      <c r="M30" s="99" t="s">
        <v>114</v>
      </c>
      <c r="N30" s="99" t="s">
        <v>115</v>
      </c>
      <c r="O30" s="99" t="s">
        <v>113</v>
      </c>
      <c r="P30" s="99" t="s">
        <v>37</v>
      </c>
      <c r="Q30" s="99" t="s">
        <v>38</v>
      </c>
      <c r="R30" s="38" t="s">
        <v>39</v>
      </c>
      <c r="S30" s="99" t="s">
        <v>114</v>
      </c>
      <c r="T30" s="99" t="s">
        <v>116</v>
      </c>
      <c r="U30" s="430"/>
      <c r="V30" s="430"/>
    </row>
    <row r="31" spans="1:22" s="36" customFormat="1" x14ac:dyDescent="0.3">
      <c r="A31" s="99">
        <v>1</v>
      </c>
      <c r="B31" s="150" t="str">
        <f t="shared" ref="B31:B48" si="2">VLOOKUP(A31,PaedSites,2)</f>
        <v>Aneurin Bevan UHB, Nevill Hall &amp; Royal Gwent Hospitals</v>
      </c>
      <c r="C31" s="277" t="s">
        <v>195</v>
      </c>
      <c r="D31" s="277">
        <v>2022</v>
      </c>
      <c r="E31" s="52" t="s">
        <v>157</v>
      </c>
      <c r="F31" s="39" t="s">
        <v>12</v>
      </c>
      <c r="G31" s="277">
        <v>12</v>
      </c>
      <c r="H31" s="277">
        <v>13</v>
      </c>
      <c r="I31" s="277">
        <v>45</v>
      </c>
      <c r="J31" s="277">
        <v>42</v>
      </c>
      <c r="K31" s="277">
        <v>64</v>
      </c>
      <c r="L31" s="197">
        <v>38</v>
      </c>
      <c r="M31" s="231">
        <v>189</v>
      </c>
      <c r="N31" s="231">
        <v>144</v>
      </c>
      <c r="O31" s="231">
        <v>67</v>
      </c>
      <c r="P31" s="277">
        <v>97</v>
      </c>
      <c r="Q31" s="277">
        <v>150</v>
      </c>
      <c r="R31" s="197">
        <v>94</v>
      </c>
      <c r="S31" s="231">
        <v>408</v>
      </c>
      <c r="T31" s="231">
        <v>341</v>
      </c>
      <c r="U31" s="193">
        <v>9.0999999999999998E-2</v>
      </c>
      <c r="V31" s="193">
        <v>0.11899999999999999</v>
      </c>
    </row>
    <row r="32" spans="1:22" s="36" customFormat="1" x14ac:dyDescent="0.3">
      <c r="A32" s="99">
        <v>2</v>
      </c>
      <c r="B32" s="150" t="str">
        <f t="shared" si="2"/>
        <v>Cardiff &amp; Vale UHB, Noah’s Ark</v>
      </c>
      <c r="C32" s="277" t="s">
        <v>195</v>
      </c>
      <c r="D32" s="277">
        <v>2022</v>
      </c>
      <c r="E32" s="52" t="s">
        <v>158</v>
      </c>
      <c r="F32" s="39" t="s">
        <v>12</v>
      </c>
      <c r="G32" s="277">
        <v>14</v>
      </c>
      <c r="H32" s="277">
        <v>0</v>
      </c>
      <c r="I32" s="277">
        <v>151</v>
      </c>
      <c r="J32" s="277">
        <v>159</v>
      </c>
      <c r="K32" s="277">
        <v>314</v>
      </c>
      <c r="L32" s="197">
        <v>156</v>
      </c>
      <c r="M32" s="231">
        <v>780</v>
      </c>
      <c r="N32" s="231">
        <v>629</v>
      </c>
      <c r="O32" s="231">
        <v>0</v>
      </c>
      <c r="P32" s="277">
        <v>0</v>
      </c>
      <c r="Q32" s="277">
        <v>0</v>
      </c>
      <c r="R32" s="197">
        <v>0</v>
      </c>
      <c r="S32" s="231">
        <v>0</v>
      </c>
      <c r="T32" s="231">
        <v>0</v>
      </c>
      <c r="U32" s="193">
        <v>0.10199999999999999</v>
      </c>
      <c r="V32" s="193">
        <v>0</v>
      </c>
    </row>
    <row r="33" spans="1:22" s="36" customFormat="1" x14ac:dyDescent="0.3">
      <c r="A33" s="99">
        <v>3</v>
      </c>
      <c r="B33" s="150" t="str">
        <f t="shared" si="2"/>
        <v>Cwm Taf Morgannwg UHB, Princess of Wales Hospital</v>
      </c>
      <c r="C33" s="277" t="s">
        <v>195</v>
      </c>
      <c r="D33" s="277">
        <v>2022</v>
      </c>
      <c r="E33" s="52" t="s">
        <v>159</v>
      </c>
      <c r="F33" s="39" t="s">
        <v>12</v>
      </c>
      <c r="G33" s="277">
        <v>0</v>
      </c>
      <c r="H33" s="277">
        <v>0</v>
      </c>
      <c r="I33" s="277">
        <v>18</v>
      </c>
      <c r="J33" s="277">
        <v>0</v>
      </c>
      <c r="K33" s="277">
        <v>0</v>
      </c>
      <c r="L33" s="197">
        <v>0</v>
      </c>
      <c r="M33" s="231">
        <v>18</v>
      </c>
      <c r="N33" s="231">
        <v>0</v>
      </c>
      <c r="O33" s="231">
        <v>105</v>
      </c>
      <c r="P33" s="277">
        <v>45</v>
      </c>
      <c r="Q33" s="277">
        <v>20</v>
      </c>
      <c r="R33" s="197">
        <v>0</v>
      </c>
      <c r="S33" s="231">
        <v>170</v>
      </c>
      <c r="T33" s="231">
        <v>65</v>
      </c>
      <c r="U33" s="193">
        <v>0.15</v>
      </c>
      <c r="V33" s="193">
        <v>0.05</v>
      </c>
    </row>
    <row r="34" spans="1:22" s="36" customFormat="1" x14ac:dyDescent="0.3">
      <c r="A34" s="99">
        <v>4</v>
      </c>
      <c r="B34" s="150" t="str">
        <f t="shared" si="2"/>
        <v xml:space="preserve">Cwm Taf Morgannwg UHB, Royal Glamorgan Hospital </v>
      </c>
      <c r="C34" s="277" t="s">
        <v>195</v>
      </c>
      <c r="D34" s="277">
        <v>2022</v>
      </c>
      <c r="E34" s="52" t="s">
        <v>160</v>
      </c>
      <c r="F34" s="39" t="s">
        <v>12</v>
      </c>
      <c r="G34" s="277">
        <v>15</v>
      </c>
      <c r="H34" s="277">
        <v>0</v>
      </c>
      <c r="I34" s="277">
        <v>1</v>
      </c>
      <c r="J34" s="277">
        <v>1</v>
      </c>
      <c r="K34" s="277">
        <v>1</v>
      </c>
      <c r="L34" s="197">
        <v>0</v>
      </c>
      <c r="M34" s="231">
        <v>3</v>
      </c>
      <c r="N34" s="231">
        <v>2</v>
      </c>
      <c r="O34" s="231">
        <v>2</v>
      </c>
      <c r="P34" s="277">
        <v>5</v>
      </c>
      <c r="Q34" s="277">
        <v>6</v>
      </c>
      <c r="R34" s="197">
        <v>2</v>
      </c>
      <c r="S34" s="231">
        <v>15</v>
      </c>
      <c r="T34" s="231">
        <v>13</v>
      </c>
      <c r="U34" s="193">
        <v>0.25929999999999997</v>
      </c>
      <c r="V34" s="193">
        <v>0</v>
      </c>
    </row>
    <row r="35" spans="1:22" s="36" customFormat="1" x14ac:dyDescent="0.3">
      <c r="A35" s="99">
        <v>5</v>
      </c>
      <c r="B35" s="150" t="str">
        <f t="shared" si="2"/>
        <v>Cwm Taf Morgannwg UHB, Prince Charles Hospital</v>
      </c>
      <c r="C35" s="277" t="s">
        <v>195</v>
      </c>
      <c r="D35" s="277">
        <v>2022</v>
      </c>
      <c r="E35" s="52" t="s">
        <v>161</v>
      </c>
      <c r="F35" s="39" t="s">
        <v>12</v>
      </c>
      <c r="G35" s="277">
        <v>16</v>
      </c>
      <c r="H35" s="277">
        <v>15</v>
      </c>
      <c r="I35" s="277">
        <v>0</v>
      </c>
      <c r="J35" s="277">
        <v>0</v>
      </c>
      <c r="K35" s="277">
        <v>11</v>
      </c>
      <c r="L35" s="197">
        <v>0</v>
      </c>
      <c r="M35" s="231">
        <v>11</v>
      </c>
      <c r="N35" s="231">
        <v>11</v>
      </c>
      <c r="O35" s="231">
        <v>2</v>
      </c>
      <c r="P35" s="277">
        <v>8</v>
      </c>
      <c r="Q35" s="277">
        <v>18</v>
      </c>
      <c r="R35" s="197">
        <v>5</v>
      </c>
      <c r="S35" s="231">
        <v>33</v>
      </c>
      <c r="T35" s="231">
        <v>31</v>
      </c>
      <c r="U35" s="193">
        <v>0.28499999999999998</v>
      </c>
      <c r="V35" s="193">
        <v>3.6999999999999998E-2</v>
      </c>
    </row>
    <row r="36" spans="1:22" s="36" customFormat="1" x14ac:dyDescent="0.3">
      <c r="A36" s="99">
        <v>6</v>
      </c>
      <c r="B36" s="150" t="str">
        <f t="shared" si="2"/>
        <v>Hywel Dda UHB, Glangwilli Hospital</v>
      </c>
      <c r="C36" s="277"/>
      <c r="D36" s="277"/>
      <c r="E36" s="52"/>
      <c r="F36" s="39"/>
      <c r="G36" s="277" t="s">
        <v>155</v>
      </c>
      <c r="H36" s="277" t="s">
        <v>155</v>
      </c>
      <c r="I36" s="277" t="s">
        <v>155</v>
      </c>
      <c r="J36" s="277" t="s">
        <v>155</v>
      </c>
      <c r="K36" s="277" t="s">
        <v>155</v>
      </c>
      <c r="L36" s="197" t="s">
        <v>155</v>
      </c>
      <c r="M36" s="231" t="s">
        <v>155</v>
      </c>
      <c r="N36" s="231" t="s">
        <v>155</v>
      </c>
      <c r="O36" s="231" t="s">
        <v>155</v>
      </c>
      <c r="P36" s="277" t="s">
        <v>155</v>
      </c>
      <c r="Q36" s="277" t="s">
        <v>155</v>
      </c>
      <c r="R36" s="197" t="s">
        <v>155</v>
      </c>
      <c r="S36" s="231" t="s">
        <v>155</v>
      </c>
      <c r="T36" s="231" t="s">
        <v>155</v>
      </c>
      <c r="U36" s="193" t="s">
        <v>155</v>
      </c>
      <c r="V36" s="193" t="s">
        <v>155</v>
      </c>
    </row>
    <row r="37" spans="1:22" s="36" customFormat="1" x14ac:dyDescent="0.3">
      <c r="A37" s="99">
        <v>7</v>
      </c>
      <c r="B37" s="150" t="str">
        <f t="shared" si="2"/>
        <v>Hywel Dda UHB, Withybush Hospital</v>
      </c>
      <c r="C37" s="277" t="s">
        <v>195</v>
      </c>
      <c r="D37" s="277">
        <v>2022</v>
      </c>
      <c r="E37" s="52" t="s">
        <v>166</v>
      </c>
      <c r="F37" s="39" t="s">
        <v>12</v>
      </c>
      <c r="G37" s="277">
        <v>11</v>
      </c>
      <c r="H37" s="277">
        <v>15</v>
      </c>
      <c r="I37" s="277">
        <v>2</v>
      </c>
      <c r="J37" s="277">
        <v>0</v>
      </c>
      <c r="K37" s="277">
        <v>0</v>
      </c>
      <c r="L37" s="197">
        <v>0</v>
      </c>
      <c r="M37" s="231">
        <v>2</v>
      </c>
      <c r="N37" s="231">
        <v>0</v>
      </c>
      <c r="O37" s="231">
        <v>11</v>
      </c>
      <c r="P37" s="277">
        <v>11</v>
      </c>
      <c r="Q37" s="277">
        <v>17</v>
      </c>
      <c r="R37" s="197">
        <v>0</v>
      </c>
      <c r="S37" s="231">
        <v>39</v>
      </c>
      <c r="T37" s="231">
        <v>28</v>
      </c>
      <c r="U37" s="193">
        <v>0</v>
      </c>
      <c r="V37" s="193">
        <v>0</v>
      </c>
    </row>
    <row r="38" spans="1:22" x14ac:dyDescent="0.3">
      <c r="A38" s="99">
        <v>8</v>
      </c>
      <c r="B38" s="150" t="str">
        <f t="shared" si="2"/>
        <v>Swansea Bay UHB, Morriston / Singleton Hospitals</v>
      </c>
      <c r="C38" s="277" t="s">
        <v>195</v>
      </c>
      <c r="D38" s="277">
        <v>2022</v>
      </c>
      <c r="E38" s="52" t="s">
        <v>162</v>
      </c>
      <c r="F38" s="39" t="s">
        <v>12</v>
      </c>
      <c r="G38" s="277">
        <v>8.48</v>
      </c>
      <c r="H38" s="277">
        <v>26.67</v>
      </c>
      <c r="I38" s="277">
        <v>34</v>
      </c>
      <c r="J38" s="277">
        <v>12</v>
      </c>
      <c r="K38" s="277" t="s">
        <v>55</v>
      </c>
      <c r="L38" s="197">
        <v>0</v>
      </c>
      <c r="M38" s="231">
        <v>46</v>
      </c>
      <c r="N38" s="231">
        <v>12</v>
      </c>
      <c r="O38" s="231">
        <v>32</v>
      </c>
      <c r="P38" s="277">
        <v>70</v>
      </c>
      <c r="Q38" s="277">
        <v>19</v>
      </c>
      <c r="R38" s="197">
        <v>0</v>
      </c>
      <c r="S38" s="231">
        <v>121</v>
      </c>
      <c r="T38" s="231">
        <v>89</v>
      </c>
      <c r="U38" s="193">
        <v>3.49E-2</v>
      </c>
      <c r="V38" s="193">
        <v>0</v>
      </c>
    </row>
    <row r="39" spans="1:22" x14ac:dyDescent="0.3">
      <c r="A39" s="99">
        <v>9</v>
      </c>
      <c r="B39" s="150" t="str">
        <f t="shared" si="2"/>
        <v xml:space="preserve">Barnstaple, North Devon District Hospital </v>
      </c>
      <c r="C39" s="277"/>
      <c r="D39" s="277"/>
      <c r="E39" s="52"/>
      <c r="F39" s="39"/>
      <c r="G39" s="277" t="s">
        <v>155</v>
      </c>
      <c r="H39" s="277" t="s">
        <v>155</v>
      </c>
      <c r="I39" s="277" t="s">
        <v>155</v>
      </c>
      <c r="J39" s="277" t="s">
        <v>155</v>
      </c>
      <c r="K39" s="277" t="s">
        <v>155</v>
      </c>
      <c r="L39" s="197" t="s">
        <v>155</v>
      </c>
      <c r="M39" s="231" t="s">
        <v>155</v>
      </c>
      <c r="N39" s="231" t="s">
        <v>155</v>
      </c>
      <c r="O39" s="231" t="s">
        <v>155</v>
      </c>
      <c r="P39" s="277" t="s">
        <v>155</v>
      </c>
      <c r="Q39" s="277" t="s">
        <v>155</v>
      </c>
      <c r="R39" s="197" t="s">
        <v>155</v>
      </c>
      <c r="S39" s="231" t="s">
        <v>155</v>
      </c>
      <c r="T39" s="231" t="s">
        <v>155</v>
      </c>
      <c r="U39" s="193" t="s">
        <v>155</v>
      </c>
      <c r="V39" s="193" t="s">
        <v>155</v>
      </c>
    </row>
    <row r="40" spans="1:22" x14ac:dyDescent="0.3">
      <c r="A40" s="99">
        <v>10</v>
      </c>
      <c r="B40" s="150" t="str">
        <f t="shared" si="2"/>
        <v xml:space="preserve">Bath, Royal United Hospital </v>
      </c>
      <c r="C40" s="277" t="s">
        <v>195</v>
      </c>
      <c r="D40" s="277">
        <v>2022</v>
      </c>
      <c r="E40" s="52" t="s">
        <v>59</v>
      </c>
      <c r="F40" s="39" t="s">
        <v>12</v>
      </c>
      <c r="G40" s="277">
        <v>28</v>
      </c>
      <c r="H40" s="277">
        <v>8</v>
      </c>
      <c r="I40" s="277">
        <v>9</v>
      </c>
      <c r="J40" s="277">
        <v>4</v>
      </c>
      <c r="K40" s="277">
        <v>0</v>
      </c>
      <c r="L40" s="197">
        <v>0</v>
      </c>
      <c r="M40" s="231">
        <v>13</v>
      </c>
      <c r="N40" s="231">
        <v>4</v>
      </c>
      <c r="O40" s="231">
        <v>0</v>
      </c>
      <c r="P40" s="277">
        <v>1</v>
      </c>
      <c r="Q40" s="277">
        <v>0</v>
      </c>
      <c r="R40" s="197">
        <v>0</v>
      </c>
      <c r="S40" s="231">
        <v>1</v>
      </c>
      <c r="T40" s="231">
        <v>1</v>
      </c>
      <c r="U40" s="193">
        <v>0.04</v>
      </c>
      <c r="V40" s="193">
        <v>0.04</v>
      </c>
    </row>
    <row r="41" spans="1:22" x14ac:dyDescent="0.3">
      <c r="A41" s="99">
        <v>11</v>
      </c>
      <c r="B41" s="150" t="str">
        <f t="shared" si="2"/>
        <v>Bristol Royal Hospital for Children</v>
      </c>
      <c r="C41" s="277" t="s">
        <v>49</v>
      </c>
      <c r="D41" s="277">
        <v>2022</v>
      </c>
      <c r="E41" s="52" t="s">
        <v>198</v>
      </c>
      <c r="F41" s="39" t="s">
        <v>12</v>
      </c>
      <c r="G41" s="277">
        <v>78</v>
      </c>
      <c r="H41" s="277">
        <v>0</v>
      </c>
      <c r="I41" s="277">
        <v>339</v>
      </c>
      <c r="J41" s="277">
        <v>313</v>
      </c>
      <c r="K41" s="277">
        <v>445</v>
      </c>
      <c r="L41" s="197">
        <v>250</v>
      </c>
      <c r="M41" s="231">
        <v>1347</v>
      </c>
      <c r="N41" s="231">
        <v>1008</v>
      </c>
      <c r="O41" s="231">
        <v>0</v>
      </c>
      <c r="P41" s="277">
        <v>0</v>
      </c>
      <c r="Q41" s="277">
        <v>0</v>
      </c>
      <c r="R41" s="197">
        <v>0</v>
      </c>
      <c r="S41" s="231">
        <v>0</v>
      </c>
      <c r="T41" s="231">
        <v>0</v>
      </c>
      <c r="U41" s="193">
        <v>0.06</v>
      </c>
      <c r="V41" s="193">
        <v>0</v>
      </c>
    </row>
    <row r="42" spans="1:22" x14ac:dyDescent="0.3">
      <c r="A42" s="99">
        <v>12</v>
      </c>
      <c r="B42" s="150" t="str">
        <f t="shared" si="2"/>
        <v xml:space="preserve">Exeter, Royal Devon and Exeter Hospital </v>
      </c>
      <c r="C42" s="277" t="s">
        <v>195</v>
      </c>
      <c r="D42" s="277">
        <v>2022</v>
      </c>
      <c r="E42" s="52" t="s">
        <v>60</v>
      </c>
      <c r="F42" s="39" t="s">
        <v>12</v>
      </c>
      <c r="G42" s="277">
        <v>15</v>
      </c>
      <c r="H42" s="277">
        <v>8</v>
      </c>
      <c r="I42" s="277">
        <v>39</v>
      </c>
      <c r="J42" s="277">
        <v>50</v>
      </c>
      <c r="K42" s="277">
        <v>66</v>
      </c>
      <c r="L42" s="197">
        <v>11</v>
      </c>
      <c r="M42" s="231">
        <v>166</v>
      </c>
      <c r="N42" s="231">
        <v>127</v>
      </c>
      <c r="O42" s="231">
        <v>22</v>
      </c>
      <c r="P42" s="277">
        <v>44</v>
      </c>
      <c r="Q42" s="277">
        <v>35</v>
      </c>
      <c r="R42" s="197">
        <v>15</v>
      </c>
      <c r="S42" s="231">
        <v>116</v>
      </c>
      <c r="T42" s="231">
        <v>94</v>
      </c>
      <c r="U42" s="193">
        <v>0.06</v>
      </c>
      <c r="V42" s="193">
        <v>0.03</v>
      </c>
    </row>
    <row r="43" spans="1:22" x14ac:dyDescent="0.3">
      <c r="A43" s="99">
        <v>13</v>
      </c>
      <c r="B43" s="150" t="str">
        <f t="shared" si="2"/>
        <v>Gloucester, Gloucestershire Hospitals</v>
      </c>
      <c r="C43" s="277" t="s">
        <v>195</v>
      </c>
      <c r="D43" s="277">
        <v>2022</v>
      </c>
      <c r="E43" s="52" t="s">
        <v>56</v>
      </c>
      <c r="F43" s="39" t="s">
        <v>12</v>
      </c>
      <c r="G43" s="277">
        <v>10.9</v>
      </c>
      <c r="H43" s="277">
        <v>5.4</v>
      </c>
      <c r="I43" s="277">
        <v>51</v>
      </c>
      <c r="J43" s="277">
        <v>43</v>
      </c>
      <c r="K43" s="277">
        <v>68</v>
      </c>
      <c r="L43" s="197">
        <v>140</v>
      </c>
      <c r="M43" s="231">
        <v>302</v>
      </c>
      <c r="N43" s="231">
        <v>251</v>
      </c>
      <c r="O43" s="231">
        <v>15</v>
      </c>
      <c r="P43" s="277">
        <v>14</v>
      </c>
      <c r="Q43" s="277">
        <v>30</v>
      </c>
      <c r="R43" s="197">
        <v>42</v>
      </c>
      <c r="S43" s="231">
        <v>101</v>
      </c>
      <c r="T43" s="231">
        <v>86</v>
      </c>
      <c r="U43" s="193">
        <v>0.1091</v>
      </c>
      <c r="V43" s="193">
        <v>0</v>
      </c>
    </row>
    <row r="44" spans="1:22" x14ac:dyDescent="0.3">
      <c r="A44" s="99">
        <v>14</v>
      </c>
      <c r="B44" s="150" t="str">
        <f t="shared" si="2"/>
        <v xml:space="preserve">Plymouth, Derriford Hospital </v>
      </c>
      <c r="C44" s="277"/>
      <c r="D44" s="277"/>
      <c r="E44" s="52"/>
      <c r="F44" s="39"/>
      <c r="G44" s="277" t="s">
        <v>155</v>
      </c>
      <c r="H44" s="277" t="s">
        <v>155</v>
      </c>
      <c r="I44" s="277" t="s">
        <v>155</v>
      </c>
      <c r="J44" s="277" t="s">
        <v>155</v>
      </c>
      <c r="K44" s="277" t="s">
        <v>155</v>
      </c>
      <c r="L44" s="197" t="s">
        <v>155</v>
      </c>
      <c r="M44" s="231" t="s">
        <v>155</v>
      </c>
      <c r="N44" s="231" t="s">
        <v>155</v>
      </c>
      <c r="O44" s="231" t="s">
        <v>155</v>
      </c>
      <c r="P44" s="277" t="s">
        <v>155</v>
      </c>
      <c r="Q44" s="277" t="s">
        <v>155</v>
      </c>
      <c r="R44" s="197" t="s">
        <v>155</v>
      </c>
      <c r="S44" s="231" t="s">
        <v>155</v>
      </c>
      <c r="T44" s="231" t="s">
        <v>155</v>
      </c>
      <c r="U44" s="193" t="s">
        <v>155</v>
      </c>
      <c r="V44" s="193" t="s">
        <v>155</v>
      </c>
    </row>
    <row r="45" spans="1:22" x14ac:dyDescent="0.3">
      <c r="A45" s="99">
        <v>15</v>
      </c>
      <c r="B45" s="150" t="str">
        <f t="shared" si="2"/>
        <v xml:space="preserve">Swindon, Great Weston Hospital </v>
      </c>
      <c r="C45" s="277" t="s">
        <v>195</v>
      </c>
      <c r="D45" s="277">
        <v>2022</v>
      </c>
      <c r="E45" s="52" t="s">
        <v>52</v>
      </c>
      <c r="F45" s="39" t="s">
        <v>12</v>
      </c>
      <c r="G45" s="277">
        <v>0</v>
      </c>
      <c r="H45" s="277">
        <v>0</v>
      </c>
      <c r="I45" s="277">
        <v>0</v>
      </c>
      <c r="J45" s="277">
        <v>0</v>
      </c>
      <c r="K45" s="277">
        <v>0</v>
      </c>
      <c r="L45" s="197">
        <v>0</v>
      </c>
      <c r="M45" s="231">
        <v>0</v>
      </c>
      <c r="N45" s="231">
        <v>0</v>
      </c>
      <c r="O45" s="231">
        <v>39</v>
      </c>
      <c r="P45" s="277">
        <v>1</v>
      </c>
      <c r="Q45" s="277">
        <v>2</v>
      </c>
      <c r="R45" s="197">
        <v>0</v>
      </c>
      <c r="S45" s="231">
        <v>42</v>
      </c>
      <c r="T45" s="231">
        <v>3</v>
      </c>
      <c r="U45" s="193">
        <v>7.0000000000000007E-2</v>
      </c>
      <c r="V45" s="193">
        <v>0.04</v>
      </c>
    </row>
    <row r="46" spans="1:22" x14ac:dyDescent="0.3">
      <c r="A46" s="99">
        <v>16</v>
      </c>
      <c r="B46" s="150" t="str">
        <f t="shared" si="2"/>
        <v xml:space="preserve">Taunton, Musgrove Park Hospital </v>
      </c>
      <c r="C46" s="277" t="s">
        <v>195</v>
      </c>
      <c r="D46" s="277">
        <v>2022</v>
      </c>
      <c r="E46" s="52" t="s">
        <v>57</v>
      </c>
      <c r="F46" s="39" t="s">
        <v>12</v>
      </c>
      <c r="G46" s="277">
        <v>44</v>
      </c>
      <c r="H46" s="277">
        <v>44</v>
      </c>
      <c r="I46" s="277">
        <v>40</v>
      </c>
      <c r="J46" s="277">
        <v>14</v>
      </c>
      <c r="K46" s="277">
        <v>0</v>
      </c>
      <c r="L46" s="197">
        <v>0</v>
      </c>
      <c r="M46" s="231">
        <v>54</v>
      </c>
      <c r="N46" s="231">
        <v>14</v>
      </c>
      <c r="O46" s="231">
        <v>16</v>
      </c>
      <c r="P46" s="277">
        <v>28</v>
      </c>
      <c r="Q46" s="277">
        <v>37</v>
      </c>
      <c r="R46" s="197">
        <v>14</v>
      </c>
      <c r="S46" s="231">
        <v>95</v>
      </c>
      <c r="T46" s="231">
        <v>79</v>
      </c>
      <c r="U46" s="193">
        <v>0.15</v>
      </c>
      <c r="V46" s="193">
        <v>0.02</v>
      </c>
    </row>
    <row r="47" spans="1:22" x14ac:dyDescent="0.3">
      <c r="A47" s="99">
        <v>17</v>
      </c>
      <c r="B47" s="150" t="str">
        <f t="shared" si="2"/>
        <v xml:space="preserve">Torquay, Torbay General District Hospital </v>
      </c>
      <c r="C47" s="277" t="s">
        <v>195</v>
      </c>
      <c r="D47" s="277">
        <v>2022</v>
      </c>
      <c r="E47" s="52" t="s">
        <v>54</v>
      </c>
      <c r="F47" s="39" t="s">
        <v>12</v>
      </c>
      <c r="G47" s="277">
        <v>4</v>
      </c>
      <c r="H47" s="277">
        <v>4</v>
      </c>
      <c r="I47" s="277">
        <v>28</v>
      </c>
      <c r="J47" s="277">
        <v>66</v>
      </c>
      <c r="K47" s="277">
        <v>20</v>
      </c>
      <c r="L47" s="197">
        <v>1</v>
      </c>
      <c r="M47" s="231">
        <v>115</v>
      </c>
      <c r="N47" s="231">
        <v>87</v>
      </c>
      <c r="O47" s="231">
        <v>25</v>
      </c>
      <c r="P47" s="277">
        <v>30</v>
      </c>
      <c r="Q47" s="277">
        <v>72</v>
      </c>
      <c r="R47" s="197">
        <v>19</v>
      </c>
      <c r="S47" s="231">
        <v>146</v>
      </c>
      <c r="T47" s="231">
        <v>121</v>
      </c>
      <c r="U47" s="193">
        <v>0.03</v>
      </c>
      <c r="V47" s="193">
        <v>0</v>
      </c>
    </row>
    <row r="48" spans="1:22" x14ac:dyDescent="0.3">
      <c r="A48" s="99">
        <v>18</v>
      </c>
      <c r="B48" s="153" t="str">
        <f t="shared" si="2"/>
        <v xml:space="preserve">Truro, Royal Cornwall Hospital </v>
      </c>
      <c r="C48" s="277"/>
      <c r="D48" s="277"/>
      <c r="E48" s="52"/>
      <c r="F48" s="39"/>
      <c r="G48" s="277" t="s">
        <v>155</v>
      </c>
      <c r="H48" s="277" t="s">
        <v>155</v>
      </c>
      <c r="I48" s="277" t="s">
        <v>155</v>
      </c>
      <c r="J48" s="277" t="s">
        <v>155</v>
      </c>
      <c r="K48" s="277" t="s">
        <v>155</v>
      </c>
      <c r="L48" s="197" t="s">
        <v>155</v>
      </c>
      <c r="M48" s="231" t="s">
        <v>155</v>
      </c>
      <c r="N48" s="231" t="s">
        <v>155</v>
      </c>
      <c r="O48" s="231" t="s">
        <v>155</v>
      </c>
      <c r="P48" s="277" t="s">
        <v>155</v>
      </c>
      <c r="Q48" s="277" t="s">
        <v>155</v>
      </c>
      <c r="R48" s="197" t="s">
        <v>155</v>
      </c>
      <c r="S48" s="231" t="s">
        <v>155</v>
      </c>
      <c r="T48" s="231" t="s">
        <v>155</v>
      </c>
      <c r="U48" s="193" t="s">
        <v>155</v>
      </c>
      <c r="V48" s="193" t="s">
        <v>155</v>
      </c>
    </row>
    <row r="49" spans="1:22" x14ac:dyDescent="0.3">
      <c r="A49" s="99"/>
      <c r="B49" s="99"/>
      <c r="C49" s="49"/>
      <c r="D49" s="49"/>
      <c r="E49" s="6">
        <f t="shared" ref="E49:V49" ca="1" si="3">OFFSET(E31,PaedChoice-1,0)</f>
        <v>0</v>
      </c>
      <c r="F49" s="6">
        <f t="shared" ca="1" si="3"/>
        <v>0</v>
      </c>
      <c r="G49" s="5" t="str">
        <f t="shared" ca="1" si="3"/>
        <v>No data</v>
      </c>
      <c r="H49" s="5" t="str">
        <f t="shared" ca="1" si="3"/>
        <v>No data</v>
      </c>
      <c r="I49" s="5" t="str">
        <f t="shared" ca="1" si="3"/>
        <v>No data</v>
      </c>
      <c r="J49" s="5" t="str">
        <f t="shared" ca="1" si="3"/>
        <v>No data</v>
      </c>
      <c r="K49" s="5" t="str">
        <f t="shared" ca="1" si="3"/>
        <v>No data</v>
      </c>
      <c r="L49" s="5" t="str">
        <f t="shared" ca="1" si="3"/>
        <v>No data</v>
      </c>
      <c r="M49" s="5" t="str">
        <f t="shared" ca="1" si="3"/>
        <v>No data</v>
      </c>
      <c r="N49" s="5" t="str">
        <f t="shared" ca="1" si="3"/>
        <v>No data</v>
      </c>
      <c r="O49" s="5" t="str">
        <f t="shared" ca="1" si="3"/>
        <v>No data</v>
      </c>
      <c r="P49" s="5" t="str">
        <f t="shared" ca="1" si="3"/>
        <v>No data</v>
      </c>
      <c r="Q49" s="5" t="str">
        <f t="shared" ca="1" si="3"/>
        <v>No data</v>
      </c>
      <c r="R49" s="5" t="str">
        <f t="shared" ca="1" si="3"/>
        <v>No data</v>
      </c>
      <c r="S49" s="5" t="str">
        <f t="shared" ca="1" si="3"/>
        <v>No data</v>
      </c>
      <c r="T49" s="5" t="str">
        <f t="shared" ca="1" si="3"/>
        <v>No data</v>
      </c>
      <c r="U49" s="241" t="str">
        <f t="shared" ca="1" si="3"/>
        <v>No data</v>
      </c>
      <c r="V49" s="241" t="str">
        <f t="shared" ca="1" si="3"/>
        <v>No data</v>
      </c>
    </row>
    <row r="50" spans="1:22" s="37" customFormat="1" ht="21" x14ac:dyDescent="0.3"/>
    <row r="51" spans="1:22" s="7" customFormat="1" ht="21" x14ac:dyDescent="0.3">
      <c r="A51" s="7" t="s">
        <v>5</v>
      </c>
    </row>
    <row r="52" spans="1:22" s="37" customFormat="1" ht="21" x14ac:dyDescent="0.3">
      <c r="A52" s="54" t="s">
        <v>63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x14ac:dyDescent="0.3">
      <c r="B53" s="2">
        <v>2</v>
      </c>
      <c r="C53" s="2">
        <v>3</v>
      </c>
      <c r="D53" s="2">
        <v>4</v>
      </c>
      <c r="E53" s="2">
        <v>5</v>
      </c>
      <c r="F53" s="2">
        <v>6</v>
      </c>
      <c r="G53" s="2">
        <v>7</v>
      </c>
      <c r="H53" s="2">
        <v>8</v>
      </c>
      <c r="I53" s="2">
        <v>9</v>
      </c>
      <c r="J53" s="2">
        <v>10</v>
      </c>
      <c r="K53" s="2">
        <v>11</v>
      </c>
      <c r="L53" s="2">
        <v>12</v>
      </c>
      <c r="M53" s="2">
        <v>13</v>
      </c>
      <c r="N53" s="2">
        <v>14</v>
      </c>
      <c r="O53" s="2">
        <v>15</v>
      </c>
      <c r="P53" s="2">
        <v>16</v>
      </c>
      <c r="Q53" s="2">
        <v>17</v>
      </c>
      <c r="R53" s="2">
        <v>18</v>
      </c>
      <c r="S53" s="2">
        <v>19</v>
      </c>
      <c r="T53" s="2">
        <v>20</v>
      </c>
      <c r="U53" s="2">
        <v>21</v>
      </c>
      <c r="V53" s="2">
        <v>22</v>
      </c>
    </row>
    <row r="54" spans="1:22" s="48" customFormat="1" x14ac:dyDescent="0.3">
      <c r="A54" s="99"/>
      <c r="B54" s="99"/>
      <c r="C54" s="430" t="s">
        <v>110</v>
      </c>
      <c r="D54" s="430" t="s">
        <v>111</v>
      </c>
      <c r="E54" s="430" t="s">
        <v>0</v>
      </c>
      <c r="F54" s="430" t="s">
        <v>112</v>
      </c>
      <c r="G54" s="430" t="s">
        <v>42</v>
      </c>
      <c r="H54" s="430"/>
      <c r="I54" s="430" t="s">
        <v>43</v>
      </c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 t="s">
        <v>41</v>
      </c>
      <c r="V54" s="430"/>
    </row>
    <row r="55" spans="1:22" s="48" customFormat="1" x14ac:dyDescent="0.3">
      <c r="A55" s="99"/>
      <c r="B55" s="99"/>
      <c r="C55" s="430"/>
      <c r="D55" s="430"/>
      <c r="E55" s="430"/>
      <c r="F55" s="430"/>
      <c r="G55" s="430" t="s">
        <v>1</v>
      </c>
      <c r="H55" s="430" t="s">
        <v>2</v>
      </c>
      <c r="I55" s="430" t="s">
        <v>1</v>
      </c>
      <c r="J55" s="430"/>
      <c r="K55" s="430"/>
      <c r="L55" s="430"/>
      <c r="M55" s="430"/>
      <c r="N55" s="430"/>
      <c r="O55" s="430" t="s">
        <v>40</v>
      </c>
      <c r="P55" s="430"/>
      <c r="Q55" s="430"/>
      <c r="R55" s="430"/>
      <c r="S55" s="430"/>
      <c r="T55" s="430"/>
      <c r="U55" s="430" t="s">
        <v>1</v>
      </c>
      <c r="V55" s="430" t="s">
        <v>40</v>
      </c>
    </row>
    <row r="56" spans="1:22" s="48" customFormat="1" ht="28.8" x14ac:dyDescent="0.3">
      <c r="A56" s="99"/>
      <c r="B56" s="99"/>
      <c r="C56" s="430"/>
      <c r="D56" s="430"/>
      <c r="E56" s="430"/>
      <c r="F56" s="430"/>
      <c r="G56" s="430"/>
      <c r="H56" s="430"/>
      <c r="I56" s="99" t="s">
        <v>113</v>
      </c>
      <c r="J56" s="99" t="s">
        <v>37</v>
      </c>
      <c r="K56" s="99" t="s">
        <v>38</v>
      </c>
      <c r="L56" s="38" t="s">
        <v>39</v>
      </c>
      <c r="M56" s="99" t="s">
        <v>114</v>
      </c>
      <c r="N56" s="99" t="s">
        <v>115</v>
      </c>
      <c r="O56" s="99" t="s">
        <v>113</v>
      </c>
      <c r="P56" s="99" t="s">
        <v>37</v>
      </c>
      <c r="Q56" s="99" t="s">
        <v>38</v>
      </c>
      <c r="R56" s="38" t="s">
        <v>39</v>
      </c>
      <c r="S56" s="99" t="s">
        <v>114</v>
      </c>
      <c r="T56" s="99" t="s">
        <v>116</v>
      </c>
      <c r="U56" s="430"/>
      <c r="V56" s="430"/>
    </row>
    <row r="57" spans="1:22" s="48" customFormat="1" x14ac:dyDescent="0.3">
      <c r="A57" s="99">
        <v>1</v>
      </c>
      <c r="B57" s="150" t="str">
        <f t="shared" ref="B57:B73" si="4">VLOOKUP(A57,AdultSites,2)</f>
        <v>Aneurin Bevan UHB, Nevill Hall &amp; Royal Gwent Hospitals</v>
      </c>
      <c r="C57" s="282" t="s">
        <v>199</v>
      </c>
      <c r="D57" s="282">
        <v>2022</v>
      </c>
      <c r="E57" s="52" t="s">
        <v>157</v>
      </c>
      <c r="F57" s="39" t="s">
        <v>11</v>
      </c>
      <c r="G57" s="282">
        <v>0</v>
      </c>
      <c r="H57" s="282">
        <v>0</v>
      </c>
      <c r="I57" s="282">
        <v>0</v>
      </c>
      <c r="J57" s="282">
        <v>0</v>
      </c>
      <c r="K57" s="282">
        <v>0</v>
      </c>
      <c r="L57" s="197">
        <v>0</v>
      </c>
      <c r="M57" s="231">
        <v>0</v>
      </c>
      <c r="N57" s="231">
        <v>0</v>
      </c>
      <c r="O57" s="231">
        <v>20</v>
      </c>
      <c r="P57" s="282">
        <v>27</v>
      </c>
      <c r="Q57" s="282">
        <v>77</v>
      </c>
      <c r="R57" s="197">
        <v>108</v>
      </c>
      <c r="S57" s="231">
        <v>232</v>
      </c>
      <c r="T57" s="231">
        <v>212</v>
      </c>
      <c r="U57" s="193">
        <v>0</v>
      </c>
      <c r="V57" s="193">
        <v>0</v>
      </c>
    </row>
    <row r="58" spans="1:22" s="48" customFormat="1" x14ac:dyDescent="0.3">
      <c r="A58" s="99">
        <v>2</v>
      </c>
      <c r="B58" s="150" t="str">
        <f t="shared" si="4"/>
        <v>University Hospital Wales</v>
      </c>
      <c r="C58" s="282" t="s">
        <v>199</v>
      </c>
      <c r="D58" s="282">
        <v>2022</v>
      </c>
      <c r="E58" s="52" t="s">
        <v>158</v>
      </c>
      <c r="F58" s="39" t="s">
        <v>11</v>
      </c>
      <c r="G58" s="282">
        <v>24</v>
      </c>
      <c r="H58" s="282">
        <v>0</v>
      </c>
      <c r="I58" s="282">
        <v>13</v>
      </c>
      <c r="J58" s="282">
        <v>3</v>
      </c>
      <c r="K58" s="282">
        <v>37</v>
      </c>
      <c r="L58" s="197">
        <v>20</v>
      </c>
      <c r="M58" s="231">
        <v>73</v>
      </c>
      <c r="N58" s="231">
        <v>60</v>
      </c>
      <c r="O58" s="231">
        <v>0</v>
      </c>
      <c r="P58" s="282">
        <v>0</v>
      </c>
      <c r="Q58" s="282">
        <v>0</v>
      </c>
      <c r="R58" s="197">
        <v>0</v>
      </c>
      <c r="S58" s="231">
        <v>0</v>
      </c>
      <c r="T58" s="231">
        <v>0</v>
      </c>
      <c r="U58" s="193">
        <v>0.15</v>
      </c>
      <c r="V58" s="193">
        <v>0</v>
      </c>
    </row>
    <row r="59" spans="1:22" s="48" customFormat="1" x14ac:dyDescent="0.3">
      <c r="A59" s="99">
        <v>3</v>
      </c>
      <c r="B59" s="150" t="str">
        <f t="shared" si="4"/>
        <v>Cwm Taf Morgannwg UHB, Princess of Wales Hospital</v>
      </c>
      <c r="C59" s="282" t="s">
        <v>199</v>
      </c>
      <c r="D59" s="282">
        <v>2022</v>
      </c>
      <c r="E59" s="52" t="s">
        <v>159</v>
      </c>
      <c r="F59" s="39" t="s">
        <v>11</v>
      </c>
      <c r="G59" s="282">
        <v>0</v>
      </c>
      <c r="H59" s="282">
        <v>0</v>
      </c>
      <c r="I59" s="282">
        <v>0</v>
      </c>
      <c r="J59" s="282">
        <v>0</v>
      </c>
      <c r="K59" s="282">
        <v>0</v>
      </c>
      <c r="L59" s="197">
        <v>0</v>
      </c>
      <c r="M59" s="231">
        <v>0</v>
      </c>
      <c r="N59" s="231">
        <v>0</v>
      </c>
      <c r="O59" s="231">
        <v>34</v>
      </c>
      <c r="P59" s="282">
        <v>36</v>
      </c>
      <c r="Q59" s="282">
        <v>22</v>
      </c>
      <c r="R59" s="197">
        <v>166</v>
      </c>
      <c r="S59" s="231">
        <v>258</v>
      </c>
      <c r="T59" s="231">
        <v>224</v>
      </c>
      <c r="U59" s="193">
        <v>0</v>
      </c>
      <c r="V59" s="193">
        <v>0</v>
      </c>
    </row>
    <row r="60" spans="1:22" s="48" customFormat="1" x14ac:dyDescent="0.3">
      <c r="A60" s="99">
        <v>4</v>
      </c>
      <c r="B60" s="150" t="str">
        <f t="shared" si="4"/>
        <v xml:space="preserve">Cwm Taf Morgannwg UHB, Royal Glamorgan Hospital </v>
      </c>
      <c r="C60" s="282" t="s">
        <v>199</v>
      </c>
      <c r="D60" s="282">
        <v>2022</v>
      </c>
      <c r="E60" s="52" t="s">
        <v>160</v>
      </c>
      <c r="F60" s="39" t="s">
        <v>11</v>
      </c>
      <c r="G60" s="282">
        <v>0</v>
      </c>
      <c r="H60" s="282">
        <v>0</v>
      </c>
      <c r="I60" s="282">
        <v>0</v>
      </c>
      <c r="J60" s="282">
        <v>0</v>
      </c>
      <c r="K60" s="282">
        <v>0</v>
      </c>
      <c r="L60" s="197">
        <v>0</v>
      </c>
      <c r="M60" s="231">
        <v>0</v>
      </c>
      <c r="N60" s="231">
        <v>0</v>
      </c>
      <c r="O60" s="231">
        <v>0</v>
      </c>
      <c r="P60" s="282">
        <v>0</v>
      </c>
      <c r="Q60" s="282">
        <v>0</v>
      </c>
      <c r="R60" s="197">
        <v>0</v>
      </c>
      <c r="S60" s="231">
        <v>0</v>
      </c>
      <c r="T60" s="231">
        <v>0</v>
      </c>
      <c r="U60" s="193">
        <v>0.13</v>
      </c>
      <c r="V60" s="193">
        <v>0</v>
      </c>
    </row>
    <row r="61" spans="1:22" s="48" customFormat="1" x14ac:dyDescent="0.3">
      <c r="A61" s="99">
        <v>5</v>
      </c>
      <c r="B61" s="150" t="str">
        <f t="shared" si="4"/>
        <v>Cwm Taf Morgannwg UHB, Prince Charles Hospital</v>
      </c>
      <c r="C61" s="282" t="s">
        <v>199</v>
      </c>
      <c r="D61" s="282">
        <v>2022</v>
      </c>
      <c r="E61" s="52" t="s">
        <v>161</v>
      </c>
      <c r="F61" s="39" t="s">
        <v>11</v>
      </c>
      <c r="G61" s="282">
        <v>0</v>
      </c>
      <c r="H61" s="282">
        <v>0</v>
      </c>
      <c r="I61" s="282">
        <v>0</v>
      </c>
      <c r="J61" s="282">
        <v>0</v>
      </c>
      <c r="K61" s="282">
        <v>0</v>
      </c>
      <c r="L61" s="197">
        <v>0</v>
      </c>
      <c r="M61" s="231">
        <v>0</v>
      </c>
      <c r="N61" s="231">
        <v>0</v>
      </c>
      <c r="O61" s="231">
        <v>0</v>
      </c>
      <c r="P61" s="282">
        <v>0</v>
      </c>
      <c r="Q61" s="282">
        <v>0</v>
      </c>
      <c r="R61" s="197">
        <v>0</v>
      </c>
      <c r="S61" s="231">
        <v>0</v>
      </c>
      <c r="T61" s="231">
        <v>0</v>
      </c>
      <c r="U61" s="193">
        <v>0</v>
      </c>
      <c r="V61" s="193">
        <v>0</v>
      </c>
    </row>
    <row r="62" spans="1:22" s="48" customFormat="1" x14ac:dyDescent="0.3">
      <c r="A62" s="99">
        <v>6</v>
      </c>
      <c r="B62" s="150" t="str">
        <f t="shared" si="4"/>
        <v>Hywel Dda UHB, Glangwilli Hospital</v>
      </c>
      <c r="C62" s="99"/>
      <c r="D62" s="99"/>
      <c r="E62" s="52"/>
      <c r="F62" s="39"/>
      <c r="G62" s="224" t="s">
        <v>155</v>
      </c>
      <c r="H62" s="224" t="s">
        <v>155</v>
      </c>
      <c r="I62" s="224" t="s">
        <v>155</v>
      </c>
      <c r="J62" s="224" t="s">
        <v>155</v>
      </c>
      <c r="K62" s="224" t="s">
        <v>155</v>
      </c>
      <c r="L62" s="197" t="s">
        <v>155</v>
      </c>
      <c r="M62" s="225" t="s">
        <v>155</v>
      </c>
      <c r="N62" s="225" t="s">
        <v>155</v>
      </c>
      <c r="O62" s="225" t="s">
        <v>155</v>
      </c>
      <c r="P62" s="224" t="s">
        <v>155</v>
      </c>
      <c r="Q62" s="224" t="s">
        <v>155</v>
      </c>
      <c r="R62" s="197" t="s">
        <v>155</v>
      </c>
      <c r="S62" s="225" t="s">
        <v>155</v>
      </c>
      <c r="T62" s="225" t="s">
        <v>155</v>
      </c>
      <c r="U62" s="193" t="s">
        <v>155</v>
      </c>
      <c r="V62" s="193" t="s">
        <v>155</v>
      </c>
    </row>
    <row r="63" spans="1:22" s="48" customFormat="1" x14ac:dyDescent="0.3">
      <c r="A63" s="99">
        <v>7</v>
      </c>
      <c r="B63" s="150" t="str">
        <f t="shared" si="4"/>
        <v>Hywel Dda UHB, Withybush Hospital</v>
      </c>
      <c r="C63" s="282" t="s">
        <v>199</v>
      </c>
      <c r="D63" s="282">
        <v>2022</v>
      </c>
      <c r="E63" s="52" t="s">
        <v>166</v>
      </c>
      <c r="F63" s="39" t="s">
        <v>11</v>
      </c>
      <c r="G63" s="282">
        <v>0</v>
      </c>
      <c r="H63" s="282">
        <v>0</v>
      </c>
      <c r="I63" s="282">
        <v>4</v>
      </c>
      <c r="J63" s="282">
        <v>2</v>
      </c>
      <c r="K63" s="282">
        <v>0</v>
      </c>
      <c r="L63" s="197">
        <v>3</v>
      </c>
      <c r="M63" s="231">
        <v>9</v>
      </c>
      <c r="N63" s="231">
        <v>5</v>
      </c>
      <c r="O63" s="231">
        <v>0</v>
      </c>
      <c r="P63" s="282">
        <v>0</v>
      </c>
      <c r="Q63" s="282">
        <v>0</v>
      </c>
      <c r="R63" s="197">
        <v>0</v>
      </c>
      <c r="S63" s="231">
        <v>0</v>
      </c>
      <c r="T63" s="231">
        <v>0</v>
      </c>
      <c r="U63" s="193">
        <v>0</v>
      </c>
      <c r="V63" s="193">
        <v>0</v>
      </c>
    </row>
    <row r="64" spans="1:22" s="48" customFormat="1" x14ac:dyDescent="0.3">
      <c r="A64" s="99">
        <v>8</v>
      </c>
      <c r="B64" s="150" t="str">
        <f t="shared" si="4"/>
        <v>Swansea Bay UHB, Morriston / Singleton Hospitals</v>
      </c>
      <c r="C64" s="282" t="s">
        <v>199</v>
      </c>
      <c r="D64" s="282">
        <v>2022</v>
      </c>
      <c r="E64" s="52" t="s">
        <v>162</v>
      </c>
      <c r="F64" s="39" t="s">
        <v>11</v>
      </c>
      <c r="G64" s="282">
        <v>3</v>
      </c>
      <c r="H64" s="282">
        <v>0</v>
      </c>
      <c r="I64" s="282">
        <v>26</v>
      </c>
      <c r="J64" s="282">
        <v>23</v>
      </c>
      <c r="K64" s="282">
        <v>29</v>
      </c>
      <c r="L64" s="197">
        <v>55</v>
      </c>
      <c r="M64" s="231">
        <v>133</v>
      </c>
      <c r="N64" s="231">
        <v>107</v>
      </c>
      <c r="O64" s="231">
        <v>0</v>
      </c>
      <c r="P64" s="282">
        <v>0</v>
      </c>
      <c r="Q64" s="282">
        <v>0</v>
      </c>
      <c r="R64" s="197">
        <v>0</v>
      </c>
      <c r="S64" s="231">
        <v>0</v>
      </c>
      <c r="T64" s="231">
        <v>0</v>
      </c>
      <c r="U64" s="193">
        <v>0</v>
      </c>
      <c r="V64" s="193">
        <v>0</v>
      </c>
    </row>
    <row r="65" spans="1:22" s="48" customFormat="1" x14ac:dyDescent="0.3">
      <c r="A65" s="99">
        <v>9</v>
      </c>
      <c r="B65" s="150" t="str">
        <f t="shared" si="4"/>
        <v xml:space="preserve">Barnstaple, North Devon District Hospital </v>
      </c>
      <c r="C65" s="282" t="s">
        <v>199</v>
      </c>
      <c r="D65" s="282">
        <v>2022</v>
      </c>
      <c r="E65" s="52" t="s">
        <v>58</v>
      </c>
      <c r="F65" s="39" t="s">
        <v>11</v>
      </c>
      <c r="G65" s="282">
        <v>32</v>
      </c>
      <c r="H65" s="282">
        <v>32</v>
      </c>
      <c r="I65" s="282">
        <v>6</v>
      </c>
      <c r="J65" s="282">
        <v>18</v>
      </c>
      <c r="K65" s="282">
        <v>38</v>
      </c>
      <c r="L65" s="197">
        <v>8</v>
      </c>
      <c r="M65" s="231">
        <v>70</v>
      </c>
      <c r="N65" s="231">
        <v>64</v>
      </c>
      <c r="O65" s="231">
        <v>6</v>
      </c>
      <c r="P65" s="282">
        <v>18</v>
      </c>
      <c r="Q65" s="282">
        <v>38</v>
      </c>
      <c r="R65" s="197">
        <v>8</v>
      </c>
      <c r="S65" s="231">
        <v>70</v>
      </c>
      <c r="T65" s="231">
        <v>64</v>
      </c>
      <c r="U65" s="193">
        <v>0</v>
      </c>
      <c r="V65" s="193">
        <v>0</v>
      </c>
    </row>
    <row r="66" spans="1:22" s="48" customFormat="1" x14ac:dyDescent="0.3">
      <c r="A66" s="99">
        <v>10</v>
      </c>
      <c r="B66" s="150" t="str">
        <f t="shared" si="4"/>
        <v>Bristol, Bristol Heart Institute</v>
      </c>
      <c r="C66" s="99" t="s">
        <v>199</v>
      </c>
      <c r="D66" s="99">
        <v>2022</v>
      </c>
      <c r="E66" s="52" t="s">
        <v>196</v>
      </c>
      <c r="F66" s="39" t="s">
        <v>11</v>
      </c>
      <c r="G66" s="224">
        <v>34</v>
      </c>
      <c r="H66" s="224">
        <v>0</v>
      </c>
      <c r="I66" s="224">
        <v>471</v>
      </c>
      <c r="J66" s="224">
        <v>334</v>
      </c>
      <c r="K66" s="224">
        <v>115</v>
      </c>
      <c r="L66" s="197">
        <v>15</v>
      </c>
      <c r="M66" s="225">
        <v>935</v>
      </c>
      <c r="N66" s="225">
        <v>464</v>
      </c>
      <c r="O66" s="225">
        <v>0</v>
      </c>
      <c r="P66" s="224">
        <v>0</v>
      </c>
      <c r="Q66" s="224">
        <v>0</v>
      </c>
      <c r="R66" s="197">
        <v>0</v>
      </c>
      <c r="S66" s="225">
        <v>0</v>
      </c>
      <c r="T66" s="225">
        <v>0</v>
      </c>
      <c r="U66" s="193">
        <v>0.23100000000000001</v>
      </c>
      <c r="V66" s="193">
        <v>0</v>
      </c>
    </row>
    <row r="67" spans="1:22" s="48" customFormat="1" x14ac:dyDescent="0.3">
      <c r="A67" s="99">
        <v>11</v>
      </c>
      <c r="B67" s="150" t="str">
        <f t="shared" si="4"/>
        <v xml:space="preserve">Exeter, Royal Devon and Exeter Hospital </v>
      </c>
      <c r="C67" s="99"/>
      <c r="D67" s="99"/>
      <c r="E67" s="52"/>
      <c r="F67" s="39"/>
      <c r="G67" s="224" t="s">
        <v>155</v>
      </c>
      <c r="H67" s="224" t="s">
        <v>155</v>
      </c>
      <c r="I67" s="224" t="s">
        <v>155</v>
      </c>
      <c r="J67" s="224" t="s">
        <v>155</v>
      </c>
      <c r="K67" s="224" t="s">
        <v>155</v>
      </c>
      <c r="L67" s="197" t="s">
        <v>155</v>
      </c>
      <c r="M67" s="225" t="s">
        <v>155</v>
      </c>
      <c r="N67" s="225" t="s">
        <v>155</v>
      </c>
      <c r="O67" s="225" t="s">
        <v>155</v>
      </c>
      <c r="P67" s="224" t="s">
        <v>155</v>
      </c>
      <c r="Q67" s="224" t="s">
        <v>155</v>
      </c>
      <c r="R67" s="197" t="s">
        <v>155</v>
      </c>
      <c r="S67" s="225" t="s">
        <v>155</v>
      </c>
      <c r="T67" s="225" t="s">
        <v>155</v>
      </c>
      <c r="U67" s="193" t="s">
        <v>155</v>
      </c>
      <c r="V67" s="193" t="s">
        <v>155</v>
      </c>
    </row>
    <row r="68" spans="1:22" s="48" customFormat="1" x14ac:dyDescent="0.3">
      <c r="A68" s="99">
        <v>12</v>
      </c>
      <c r="B68" s="150" t="str">
        <f t="shared" si="4"/>
        <v>Gloucester, Gloucestershire Hospitals</v>
      </c>
      <c r="C68" s="282" t="s">
        <v>199</v>
      </c>
      <c r="D68" s="282">
        <v>2022</v>
      </c>
      <c r="E68" s="52" t="s">
        <v>56</v>
      </c>
      <c r="F68" s="39" t="s">
        <v>11</v>
      </c>
      <c r="G68" s="282">
        <v>12</v>
      </c>
      <c r="H68" s="282">
        <v>12</v>
      </c>
      <c r="I68" s="282">
        <v>5</v>
      </c>
      <c r="J68" s="282">
        <v>8</v>
      </c>
      <c r="K68" s="282">
        <v>21</v>
      </c>
      <c r="L68" s="197">
        <v>41</v>
      </c>
      <c r="M68" s="231">
        <v>75</v>
      </c>
      <c r="N68" s="231">
        <v>70</v>
      </c>
      <c r="O68" s="231">
        <v>5</v>
      </c>
      <c r="P68" s="282">
        <v>8</v>
      </c>
      <c r="Q68" s="282">
        <v>21</v>
      </c>
      <c r="R68" s="197">
        <v>41</v>
      </c>
      <c r="S68" s="231">
        <v>75</v>
      </c>
      <c r="T68" s="231">
        <v>70</v>
      </c>
      <c r="U68" s="193">
        <v>0</v>
      </c>
      <c r="V68" s="193">
        <v>0</v>
      </c>
    </row>
    <row r="69" spans="1:22" s="48" customFormat="1" x14ac:dyDescent="0.3">
      <c r="A69" s="99">
        <v>13</v>
      </c>
      <c r="B69" s="150" t="str">
        <f t="shared" si="4"/>
        <v xml:space="preserve">Plymouth, Derriford Hospital </v>
      </c>
      <c r="C69" s="282" t="s">
        <v>199</v>
      </c>
      <c r="D69" s="282">
        <v>2022</v>
      </c>
      <c r="E69" s="52" t="s">
        <v>61</v>
      </c>
      <c r="F69" s="39" t="s">
        <v>11</v>
      </c>
      <c r="G69" s="282">
        <v>34</v>
      </c>
      <c r="H69" s="282">
        <v>0</v>
      </c>
      <c r="I69" s="282">
        <v>160</v>
      </c>
      <c r="J69" s="282">
        <v>133</v>
      </c>
      <c r="K69" s="282">
        <v>187</v>
      </c>
      <c r="L69" s="197">
        <v>153</v>
      </c>
      <c r="M69" s="231">
        <v>633</v>
      </c>
      <c r="N69" s="231">
        <v>473</v>
      </c>
      <c r="O69" s="231">
        <v>0</v>
      </c>
      <c r="P69" s="282">
        <v>0</v>
      </c>
      <c r="Q69" s="282">
        <v>0</v>
      </c>
      <c r="R69" s="197">
        <v>0</v>
      </c>
      <c r="S69" s="231">
        <v>0</v>
      </c>
      <c r="T69" s="231">
        <v>0</v>
      </c>
      <c r="U69" s="193">
        <v>0.04</v>
      </c>
      <c r="V69" s="193">
        <v>0</v>
      </c>
    </row>
    <row r="70" spans="1:22" s="48" customFormat="1" x14ac:dyDescent="0.3">
      <c r="A70" s="99">
        <v>14</v>
      </c>
      <c r="B70" s="150" t="str">
        <f t="shared" si="4"/>
        <v xml:space="preserve">Swindon, Great Weston Hospital </v>
      </c>
      <c r="C70" s="99"/>
      <c r="D70" s="99"/>
      <c r="E70" s="52"/>
      <c r="F70" s="39"/>
      <c r="G70" s="224" t="s">
        <v>155</v>
      </c>
      <c r="H70" s="224" t="s">
        <v>155</v>
      </c>
      <c r="I70" s="224" t="s">
        <v>155</v>
      </c>
      <c r="J70" s="224" t="s">
        <v>155</v>
      </c>
      <c r="K70" s="224" t="s">
        <v>155</v>
      </c>
      <c r="L70" s="197" t="s">
        <v>155</v>
      </c>
      <c r="M70" s="225" t="s">
        <v>155</v>
      </c>
      <c r="N70" s="225" t="s">
        <v>155</v>
      </c>
      <c r="O70" s="225" t="s">
        <v>155</v>
      </c>
      <c r="P70" s="224" t="s">
        <v>155</v>
      </c>
      <c r="Q70" s="224" t="s">
        <v>155</v>
      </c>
      <c r="R70" s="197" t="s">
        <v>155</v>
      </c>
      <c r="S70" s="225" t="s">
        <v>155</v>
      </c>
      <c r="T70" s="225" t="s">
        <v>155</v>
      </c>
      <c r="U70" s="193" t="s">
        <v>155</v>
      </c>
      <c r="V70" s="193" t="s">
        <v>155</v>
      </c>
    </row>
    <row r="71" spans="1:22" s="48" customFormat="1" x14ac:dyDescent="0.3">
      <c r="A71" s="99">
        <v>15</v>
      </c>
      <c r="B71" s="150" t="str">
        <f t="shared" si="4"/>
        <v xml:space="preserve">Taunton, Musgrove Park Hospital </v>
      </c>
      <c r="C71" s="282" t="s">
        <v>199</v>
      </c>
      <c r="D71" s="282">
        <v>2022</v>
      </c>
      <c r="E71" s="52" t="s">
        <v>57</v>
      </c>
      <c r="F71" s="39" t="s">
        <v>11</v>
      </c>
      <c r="G71" s="282">
        <v>2</v>
      </c>
      <c r="H71" s="282">
        <v>8</v>
      </c>
      <c r="I71" s="282">
        <v>24</v>
      </c>
      <c r="J71" s="282">
        <v>0</v>
      </c>
      <c r="K71" s="282">
        <v>0</v>
      </c>
      <c r="L71" s="197">
        <v>0</v>
      </c>
      <c r="M71" s="231">
        <v>24</v>
      </c>
      <c r="N71" s="231">
        <v>0</v>
      </c>
      <c r="O71" s="231">
        <v>10</v>
      </c>
      <c r="P71" s="282">
        <v>7</v>
      </c>
      <c r="Q71" s="282">
        <v>0</v>
      </c>
      <c r="R71" s="197">
        <v>0</v>
      </c>
      <c r="S71" s="231">
        <v>17</v>
      </c>
      <c r="T71" s="231">
        <v>7</v>
      </c>
      <c r="U71" s="193">
        <v>0</v>
      </c>
      <c r="V71" s="193">
        <v>0</v>
      </c>
    </row>
    <row r="72" spans="1:22" s="48" customFormat="1" x14ac:dyDescent="0.3">
      <c r="A72" s="99">
        <v>16</v>
      </c>
      <c r="B72" s="150" t="str">
        <f t="shared" si="4"/>
        <v xml:space="preserve">Torquay, Torbay General District Hospital </v>
      </c>
      <c r="C72" s="282" t="s">
        <v>199</v>
      </c>
      <c r="D72" s="282">
        <v>2022</v>
      </c>
      <c r="E72" s="52" t="s">
        <v>54</v>
      </c>
      <c r="F72" s="39" t="s">
        <v>11</v>
      </c>
      <c r="G72" s="282">
        <v>5</v>
      </c>
      <c r="H72" s="282">
        <v>0</v>
      </c>
      <c r="I72" s="282">
        <v>6</v>
      </c>
      <c r="J72" s="282">
        <v>0</v>
      </c>
      <c r="K72" s="282">
        <v>0</v>
      </c>
      <c r="L72" s="197">
        <v>0</v>
      </c>
      <c r="M72" s="231">
        <v>6</v>
      </c>
      <c r="N72" s="231">
        <v>0</v>
      </c>
      <c r="O72" s="231">
        <v>4</v>
      </c>
      <c r="P72" s="282">
        <v>8</v>
      </c>
      <c r="Q72" s="282">
        <v>2</v>
      </c>
      <c r="R72" s="197">
        <v>1</v>
      </c>
      <c r="S72" s="231">
        <v>15</v>
      </c>
      <c r="T72" s="231">
        <v>11</v>
      </c>
      <c r="U72" s="193">
        <v>0.04</v>
      </c>
      <c r="V72" s="193">
        <v>0.09</v>
      </c>
    </row>
    <row r="73" spans="1:22" s="48" customFormat="1" x14ac:dyDescent="0.3">
      <c r="A73" s="99">
        <v>17</v>
      </c>
      <c r="B73" s="153" t="str">
        <f t="shared" si="4"/>
        <v xml:space="preserve">Truro, Royal Cornwall Hospital </v>
      </c>
      <c r="C73" s="99"/>
      <c r="D73" s="99"/>
      <c r="E73" s="52"/>
      <c r="F73" s="39"/>
      <c r="G73" s="224" t="s">
        <v>155</v>
      </c>
      <c r="H73" s="224" t="s">
        <v>155</v>
      </c>
      <c r="I73" s="224" t="s">
        <v>155</v>
      </c>
      <c r="J73" s="224" t="s">
        <v>155</v>
      </c>
      <c r="K73" s="224" t="s">
        <v>155</v>
      </c>
      <c r="L73" s="197" t="s">
        <v>155</v>
      </c>
      <c r="M73" s="225" t="s">
        <v>155</v>
      </c>
      <c r="N73" s="225" t="s">
        <v>155</v>
      </c>
      <c r="O73" s="225" t="s">
        <v>155</v>
      </c>
      <c r="P73" s="224" t="s">
        <v>155</v>
      </c>
      <c r="Q73" s="224" t="s">
        <v>155</v>
      </c>
      <c r="R73" s="197" t="s">
        <v>155</v>
      </c>
      <c r="S73" s="225" t="s">
        <v>155</v>
      </c>
      <c r="T73" s="225" t="s">
        <v>155</v>
      </c>
      <c r="U73" s="193" t="s">
        <v>155</v>
      </c>
      <c r="V73" s="193" t="s">
        <v>155</v>
      </c>
    </row>
    <row r="74" spans="1:22" s="48" customFormat="1" x14ac:dyDescent="0.3">
      <c r="B74" s="99"/>
      <c r="D74" s="99"/>
      <c r="E74" s="242" t="str">
        <f t="shared" ref="E74:V74" ca="1" si="5">OFFSET(E57,AdultChoice-1,0)</f>
        <v>Aneurin Bevan UHB, Nevill Hall &amp; Royal Gwent Hospitals</v>
      </c>
      <c r="F74" s="243" t="str">
        <f t="shared" ca="1" si="5"/>
        <v>Adults</v>
      </c>
      <c r="G74" s="51">
        <f t="shared" ca="1" si="5"/>
        <v>0</v>
      </c>
      <c r="H74" s="51">
        <f t="shared" ca="1" si="5"/>
        <v>0</v>
      </c>
      <c r="I74" s="51">
        <f t="shared" ca="1" si="5"/>
        <v>0</v>
      </c>
      <c r="J74" s="51">
        <f t="shared" ca="1" si="5"/>
        <v>0</v>
      </c>
      <c r="K74" s="51">
        <f t="shared" ca="1" si="5"/>
        <v>0</v>
      </c>
      <c r="L74" s="51">
        <f t="shared" ca="1" si="5"/>
        <v>0</v>
      </c>
      <c r="M74" s="51">
        <f t="shared" ca="1" si="5"/>
        <v>0</v>
      </c>
      <c r="N74" s="51">
        <f t="shared" ca="1" si="5"/>
        <v>0</v>
      </c>
      <c r="O74" s="51">
        <f t="shared" ca="1" si="5"/>
        <v>20</v>
      </c>
      <c r="P74" s="51">
        <f t="shared" ca="1" si="5"/>
        <v>27</v>
      </c>
      <c r="Q74" s="51">
        <f t="shared" ca="1" si="5"/>
        <v>77</v>
      </c>
      <c r="R74" s="51">
        <f t="shared" ca="1" si="5"/>
        <v>108</v>
      </c>
      <c r="S74" s="51">
        <f t="shared" ca="1" si="5"/>
        <v>232</v>
      </c>
      <c r="T74" s="51">
        <f t="shared" ca="1" si="5"/>
        <v>212</v>
      </c>
      <c r="U74" s="113">
        <f t="shared" ca="1" si="5"/>
        <v>0</v>
      </c>
      <c r="V74" s="113">
        <f t="shared" ca="1" si="5"/>
        <v>0</v>
      </c>
    </row>
    <row r="75" spans="1:22" s="50" customFormat="1" x14ac:dyDescent="0.3">
      <c r="B75" s="98"/>
      <c r="D75" s="98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</row>
    <row r="76" spans="1:22" s="37" customFormat="1" ht="21" x14ac:dyDescent="0.3">
      <c r="A76" s="55" t="s">
        <v>64</v>
      </c>
      <c r="B76" s="55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</row>
    <row r="77" spans="1:22" s="50" customFormat="1" x14ac:dyDescent="0.3">
      <c r="A77" s="2"/>
      <c r="B77" s="2">
        <v>2</v>
      </c>
      <c r="C77" s="2">
        <v>3</v>
      </c>
      <c r="D77" s="2">
        <v>4</v>
      </c>
      <c r="E77" s="2">
        <v>5</v>
      </c>
      <c r="F77" s="2">
        <v>6</v>
      </c>
      <c r="G77" s="2">
        <v>7</v>
      </c>
      <c r="H77" s="2">
        <v>8</v>
      </c>
      <c r="I77" s="2">
        <v>9</v>
      </c>
      <c r="J77" s="2">
        <v>10</v>
      </c>
      <c r="K77" s="2">
        <v>11</v>
      </c>
      <c r="L77" s="2">
        <v>12</v>
      </c>
      <c r="M77" s="2">
        <v>13</v>
      </c>
      <c r="N77" s="2">
        <v>14</v>
      </c>
      <c r="O77" s="2">
        <v>15</v>
      </c>
      <c r="P77" s="2">
        <v>16</v>
      </c>
      <c r="Q77" s="2">
        <v>17</v>
      </c>
      <c r="R77" s="2">
        <v>18</v>
      </c>
      <c r="S77" s="2">
        <v>19</v>
      </c>
      <c r="T77" s="2">
        <v>20</v>
      </c>
      <c r="U77" s="2">
        <v>21</v>
      </c>
      <c r="V77" s="2">
        <v>22</v>
      </c>
    </row>
    <row r="78" spans="1:22" s="48" customFormat="1" x14ac:dyDescent="0.3">
      <c r="A78" s="99"/>
      <c r="B78" s="99"/>
      <c r="C78" s="430" t="s">
        <v>110</v>
      </c>
      <c r="D78" s="430" t="s">
        <v>111</v>
      </c>
      <c r="E78" s="430" t="s">
        <v>0</v>
      </c>
      <c r="F78" s="430" t="s">
        <v>112</v>
      </c>
      <c r="G78" s="430" t="s">
        <v>42</v>
      </c>
      <c r="H78" s="430"/>
      <c r="I78" s="430" t="s">
        <v>43</v>
      </c>
      <c r="J78" s="430"/>
      <c r="K78" s="430"/>
      <c r="L78" s="430"/>
      <c r="M78" s="430"/>
      <c r="N78" s="430"/>
      <c r="O78" s="430"/>
      <c r="P78" s="430"/>
      <c r="Q78" s="430"/>
      <c r="R78" s="430"/>
      <c r="S78" s="430"/>
      <c r="T78" s="430"/>
      <c r="U78" s="430" t="s">
        <v>41</v>
      </c>
      <c r="V78" s="430"/>
    </row>
    <row r="79" spans="1:22" s="48" customFormat="1" x14ac:dyDescent="0.3">
      <c r="A79" s="99"/>
      <c r="B79" s="99"/>
      <c r="C79" s="430"/>
      <c r="D79" s="430"/>
      <c r="E79" s="430"/>
      <c r="F79" s="430"/>
      <c r="G79" s="430" t="s">
        <v>1</v>
      </c>
      <c r="H79" s="430" t="s">
        <v>2</v>
      </c>
      <c r="I79" s="430" t="s">
        <v>1</v>
      </c>
      <c r="J79" s="430"/>
      <c r="K79" s="430"/>
      <c r="L79" s="430"/>
      <c r="M79" s="430"/>
      <c r="N79" s="430"/>
      <c r="O79" s="430" t="s">
        <v>40</v>
      </c>
      <c r="P79" s="430"/>
      <c r="Q79" s="430"/>
      <c r="R79" s="430"/>
      <c r="S79" s="430"/>
      <c r="T79" s="430"/>
      <c r="U79" s="430" t="s">
        <v>1</v>
      </c>
      <c r="V79" s="430" t="s">
        <v>40</v>
      </c>
    </row>
    <row r="80" spans="1:22" s="48" customFormat="1" ht="28.8" x14ac:dyDescent="0.3">
      <c r="A80" s="99"/>
      <c r="B80" s="99"/>
      <c r="C80" s="430"/>
      <c r="D80" s="430"/>
      <c r="E80" s="430"/>
      <c r="F80" s="430"/>
      <c r="G80" s="430"/>
      <c r="H80" s="430"/>
      <c r="I80" s="99" t="s">
        <v>113</v>
      </c>
      <c r="J80" s="99" t="s">
        <v>37</v>
      </c>
      <c r="K80" s="99" t="s">
        <v>38</v>
      </c>
      <c r="L80" s="38" t="s">
        <v>39</v>
      </c>
      <c r="M80" s="99" t="s">
        <v>114</v>
      </c>
      <c r="N80" s="99" t="s">
        <v>115</v>
      </c>
      <c r="O80" s="99" t="s">
        <v>113</v>
      </c>
      <c r="P80" s="99" t="s">
        <v>37</v>
      </c>
      <c r="Q80" s="99" t="s">
        <v>38</v>
      </c>
      <c r="R80" s="38" t="s">
        <v>39</v>
      </c>
      <c r="S80" s="99" t="s">
        <v>114</v>
      </c>
      <c r="T80" s="99" t="s">
        <v>116</v>
      </c>
      <c r="U80" s="430"/>
      <c r="V80" s="430"/>
    </row>
    <row r="81" spans="1:22" s="48" customFormat="1" x14ac:dyDescent="0.3">
      <c r="A81" s="99">
        <v>1</v>
      </c>
      <c r="B81" s="150" t="str">
        <f t="shared" ref="B81:B98" si="6">VLOOKUP(A81,PaedSites,2)</f>
        <v>Aneurin Bevan UHB, Nevill Hall &amp; Royal Gwent Hospitals</v>
      </c>
      <c r="C81" s="282" t="s">
        <v>199</v>
      </c>
      <c r="D81" s="282">
        <v>2022</v>
      </c>
      <c r="E81" s="52" t="s">
        <v>157</v>
      </c>
      <c r="F81" s="39" t="s">
        <v>12</v>
      </c>
      <c r="G81" s="282">
        <v>30</v>
      </c>
      <c r="H81" s="282">
        <v>12</v>
      </c>
      <c r="I81" s="282">
        <v>29</v>
      </c>
      <c r="J81" s="282">
        <v>31</v>
      </c>
      <c r="K81" s="282">
        <v>60</v>
      </c>
      <c r="L81" s="197">
        <v>55</v>
      </c>
      <c r="M81" s="231">
        <v>175</v>
      </c>
      <c r="N81" s="231">
        <v>146</v>
      </c>
      <c r="O81" s="231">
        <v>58</v>
      </c>
      <c r="P81" s="282">
        <v>34</v>
      </c>
      <c r="Q81" s="282">
        <v>140</v>
      </c>
      <c r="R81" s="197">
        <v>125</v>
      </c>
      <c r="S81" s="231">
        <v>357</v>
      </c>
      <c r="T81" s="231">
        <v>299</v>
      </c>
      <c r="U81" s="193">
        <v>0.13</v>
      </c>
      <c r="V81" s="193">
        <v>0.08</v>
      </c>
    </row>
    <row r="82" spans="1:22" s="48" customFormat="1" x14ac:dyDescent="0.3">
      <c r="A82" s="99">
        <v>2</v>
      </c>
      <c r="B82" s="150" t="str">
        <f t="shared" si="6"/>
        <v>Cardiff &amp; Vale UHB, Noah’s Ark</v>
      </c>
      <c r="C82" s="282" t="s">
        <v>199</v>
      </c>
      <c r="D82" s="282">
        <v>2022</v>
      </c>
      <c r="E82" s="52" t="s">
        <v>158</v>
      </c>
      <c r="F82" s="39" t="s">
        <v>12</v>
      </c>
      <c r="G82" s="282">
        <v>17</v>
      </c>
      <c r="H82" s="282">
        <v>0</v>
      </c>
      <c r="I82" s="282">
        <v>140</v>
      </c>
      <c r="J82" s="282">
        <v>132</v>
      </c>
      <c r="K82" s="282">
        <v>280</v>
      </c>
      <c r="L82" s="197">
        <v>155</v>
      </c>
      <c r="M82" s="231">
        <v>707</v>
      </c>
      <c r="N82" s="231">
        <v>567</v>
      </c>
      <c r="O82" s="231">
        <v>0</v>
      </c>
      <c r="P82" s="282">
        <v>0</v>
      </c>
      <c r="Q82" s="282">
        <v>0</v>
      </c>
      <c r="R82" s="197">
        <v>0</v>
      </c>
      <c r="S82" s="231">
        <v>0</v>
      </c>
      <c r="T82" s="231">
        <v>0</v>
      </c>
      <c r="U82" s="193">
        <v>7.0000000000000007E-2</v>
      </c>
      <c r="V82" s="193">
        <v>0</v>
      </c>
    </row>
    <row r="83" spans="1:22" s="48" customFormat="1" x14ac:dyDescent="0.3">
      <c r="A83" s="99">
        <v>3</v>
      </c>
      <c r="B83" s="150" t="str">
        <f t="shared" si="6"/>
        <v>Cwm Taf Morgannwg UHB, Princess of Wales Hospital</v>
      </c>
      <c r="C83" s="282" t="s">
        <v>199</v>
      </c>
      <c r="D83" s="282">
        <v>2022</v>
      </c>
      <c r="E83" s="52" t="s">
        <v>159</v>
      </c>
      <c r="F83" s="39" t="s">
        <v>12</v>
      </c>
      <c r="G83" s="282">
        <v>0</v>
      </c>
      <c r="H83" s="282">
        <v>0</v>
      </c>
      <c r="I83" s="282">
        <v>16</v>
      </c>
      <c r="J83" s="282">
        <v>0</v>
      </c>
      <c r="K83" s="282">
        <v>0</v>
      </c>
      <c r="L83" s="197">
        <v>0</v>
      </c>
      <c r="M83" s="231">
        <v>16</v>
      </c>
      <c r="N83" s="231">
        <v>0</v>
      </c>
      <c r="O83" s="231">
        <v>0</v>
      </c>
      <c r="P83" s="282">
        <v>49</v>
      </c>
      <c r="Q83" s="282">
        <v>111</v>
      </c>
      <c r="R83" s="197">
        <v>28</v>
      </c>
      <c r="S83" s="231">
        <v>188</v>
      </c>
      <c r="T83" s="231">
        <v>188</v>
      </c>
      <c r="U83" s="193">
        <v>0.12</v>
      </c>
      <c r="V83" s="193">
        <v>0.05</v>
      </c>
    </row>
    <row r="84" spans="1:22" s="48" customFormat="1" x14ac:dyDescent="0.3">
      <c r="A84" s="99">
        <v>4</v>
      </c>
      <c r="B84" s="150" t="str">
        <f t="shared" si="6"/>
        <v xml:space="preserve">Cwm Taf Morgannwg UHB, Royal Glamorgan Hospital </v>
      </c>
      <c r="C84" s="282" t="s">
        <v>199</v>
      </c>
      <c r="D84" s="282">
        <v>2022</v>
      </c>
      <c r="E84" s="52" t="s">
        <v>160</v>
      </c>
      <c r="F84" s="39" t="s">
        <v>12</v>
      </c>
      <c r="G84" s="282">
        <v>13</v>
      </c>
      <c r="H84" s="282">
        <v>3</v>
      </c>
      <c r="I84" s="282">
        <v>1</v>
      </c>
      <c r="J84" s="282">
        <v>0</v>
      </c>
      <c r="K84" s="282">
        <v>0</v>
      </c>
      <c r="L84" s="197">
        <v>0</v>
      </c>
      <c r="M84" s="231">
        <v>1</v>
      </c>
      <c r="N84" s="231">
        <v>0</v>
      </c>
      <c r="O84" s="231">
        <v>1</v>
      </c>
      <c r="P84" s="282">
        <v>1</v>
      </c>
      <c r="Q84" s="282">
        <v>3</v>
      </c>
      <c r="R84" s="197">
        <v>6</v>
      </c>
      <c r="S84" s="231">
        <v>11</v>
      </c>
      <c r="T84" s="231">
        <v>10</v>
      </c>
      <c r="U84" s="193">
        <v>0.22</v>
      </c>
      <c r="V84" s="193">
        <v>0.37</v>
      </c>
    </row>
    <row r="85" spans="1:22" s="48" customFormat="1" x14ac:dyDescent="0.3">
      <c r="A85" s="99">
        <v>5</v>
      </c>
      <c r="B85" s="150" t="str">
        <f t="shared" si="6"/>
        <v>Cwm Taf Morgannwg UHB, Prince Charles Hospital</v>
      </c>
      <c r="C85" s="282" t="s">
        <v>199</v>
      </c>
      <c r="D85" s="282">
        <v>2022</v>
      </c>
      <c r="E85" s="52" t="s">
        <v>161</v>
      </c>
      <c r="F85" s="39" t="s">
        <v>12</v>
      </c>
      <c r="G85" s="282">
        <v>14</v>
      </c>
      <c r="H85" s="282">
        <v>14</v>
      </c>
      <c r="I85" s="282">
        <v>1</v>
      </c>
      <c r="J85" s="282">
        <v>1</v>
      </c>
      <c r="K85" s="282">
        <v>8</v>
      </c>
      <c r="L85" s="197">
        <v>0</v>
      </c>
      <c r="M85" s="231">
        <v>10</v>
      </c>
      <c r="N85" s="231">
        <v>9</v>
      </c>
      <c r="O85" s="231">
        <v>2</v>
      </c>
      <c r="P85" s="282">
        <v>1</v>
      </c>
      <c r="Q85" s="282">
        <v>5</v>
      </c>
      <c r="R85" s="197">
        <v>1</v>
      </c>
      <c r="S85" s="231">
        <v>9</v>
      </c>
      <c r="T85" s="231">
        <v>7</v>
      </c>
      <c r="U85" s="193">
        <v>0.21</v>
      </c>
      <c r="V85" s="193">
        <v>0.23</v>
      </c>
    </row>
    <row r="86" spans="1:22" s="48" customFormat="1" x14ac:dyDescent="0.3">
      <c r="A86" s="99">
        <v>6</v>
      </c>
      <c r="B86" s="150" t="str">
        <f t="shared" si="6"/>
        <v>Hywel Dda UHB, Glangwilli Hospital</v>
      </c>
      <c r="C86" s="282" t="s">
        <v>199</v>
      </c>
      <c r="D86" s="282">
        <v>2022</v>
      </c>
      <c r="E86" s="52" t="s">
        <v>165</v>
      </c>
      <c r="F86" s="39" t="s">
        <v>12</v>
      </c>
      <c r="G86" s="282">
        <v>4</v>
      </c>
      <c r="H86" s="282">
        <v>52</v>
      </c>
      <c r="I86" s="282">
        <v>0</v>
      </c>
      <c r="J86" s="282">
        <v>0</v>
      </c>
      <c r="K86" s="282">
        <v>0</v>
      </c>
      <c r="L86" s="197">
        <v>0</v>
      </c>
      <c r="M86" s="231">
        <v>0</v>
      </c>
      <c r="N86" s="231">
        <v>0</v>
      </c>
      <c r="O86" s="231">
        <v>19</v>
      </c>
      <c r="P86" s="282">
        <v>13</v>
      </c>
      <c r="Q86" s="282">
        <v>30</v>
      </c>
      <c r="R86" s="197">
        <v>0</v>
      </c>
      <c r="S86" s="231">
        <v>62</v>
      </c>
      <c r="T86" s="231">
        <v>43</v>
      </c>
      <c r="U86" s="193">
        <v>0</v>
      </c>
      <c r="V86" s="193">
        <v>0</v>
      </c>
    </row>
    <row r="87" spans="1:22" s="48" customFormat="1" x14ac:dyDescent="0.3">
      <c r="A87" s="99">
        <v>7</v>
      </c>
      <c r="B87" s="150" t="str">
        <f t="shared" si="6"/>
        <v>Hywel Dda UHB, Withybush Hospital</v>
      </c>
      <c r="C87" s="282" t="s">
        <v>199</v>
      </c>
      <c r="D87" s="282">
        <v>2022</v>
      </c>
      <c r="E87" s="52" t="s">
        <v>166</v>
      </c>
      <c r="F87" s="39" t="s">
        <v>12</v>
      </c>
      <c r="G87" s="282">
        <v>10</v>
      </c>
      <c r="H87" s="282">
        <v>20</v>
      </c>
      <c r="I87" s="282">
        <v>9</v>
      </c>
      <c r="J87" s="282">
        <v>1</v>
      </c>
      <c r="K87" s="282">
        <v>0</v>
      </c>
      <c r="L87" s="197">
        <v>0</v>
      </c>
      <c r="M87" s="231">
        <v>10</v>
      </c>
      <c r="N87" s="231">
        <v>1</v>
      </c>
      <c r="O87" s="231">
        <v>26</v>
      </c>
      <c r="P87" s="282">
        <v>18</v>
      </c>
      <c r="Q87" s="282">
        <v>6</v>
      </c>
      <c r="R87" s="197">
        <v>0</v>
      </c>
      <c r="S87" s="231">
        <v>50</v>
      </c>
      <c r="T87" s="231">
        <v>24</v>
      </c>
      <c r="U87" s="193">
        <v>0</v>
      </c>
      <c r="V87" s="193">
        <v>0</v>
      </c>
    </row>
    <row r="88" spans="1:22" x14ac:dyDescent="0.3">
      <c r="A88" s="99">
        <v>8</v>
      </c>
      <c r="B88" s="150" t="str">
        <f t="shared" si="6"/>
        <v>Swansea Bay UHB, Morriston / Singleton Hospitals</v>
      </c>
      <c r="C88" s="282" t="s">
        <v>199</v>
      </c>
      <c r="D88" s="282">
        <v>2022</v>
      </c>
      <c r="E88" s="52" t="s">
        <v>162</v>
      </c>
      <c r="F88" s="39" t="s">
        <v>12</v>
      </c>
      <c r="G88" s="282">
        <v>6.33</v>
      </c>
      <c r="H88" s="282">
        <v>9.2899999999999991</v>
      </c>
      <c r="I88" s="282">
        <v>24</v>
      </c>
      <c r="J88" s="282">
        <v>10</v>
      </c>
      <c r="K88" s="282">
        <v>2</v>
      </c>
      <c r="L88" s="197">
        <v>1</v>
      </c>
      <c r="M88" s="231">
        <v>37</v>
      </c>
      <c r="N88" s="231">
        <v>13</v>
      </c>
      <c r="O88" s="231">
        <v>26</v>
      </c>
      <c r="P88" s="282">
        <v>39</v>
      </c>
      <c r="Q88" s="282">
        <v>48</v>
      </c>
      <c r="R88" s="197">
        <v>0</v>
      </c>
      <c r="S88" s="231">
        <v>113</v>
      </c>
      <c r="T88" s="231">
        <v>87</v>
      </c>
      <c r="U88" s="193">
        <v>0.06</v>
      </c>
      <c r="V88" s="193">
        <v>0</v>
      </c>
    </row>
    <row r="89" spans="1:22" x14ac:dyDescent="0.3">
      <c r="A89" s="99">
        <v>9</v>
      </c>
      <c r="B89" s="150" t="str">
        <f t="shared" si="6"/>
        <v xml:space="preserve">Barnstaple, North Devon District Hospital </v>
      </c>
      <c r="C89" s="99"/>
      <c r="D89" s="99"/>
      <c r="E89" s="52"/>
      <c r="F89" s="39"/>
      <c r="G89" s="224" t="s">
        <v>155</v>
      </c>
      <c r="H89" s="224" t="s">
        <v>155</v>
      </c>
      <c r="I89" s="224" t="s">
        <v>155</v>
      </c>
      <c r="J89" s="224" t="s">
        <v>155</v>
      </c>
      <c r="K89" s="224" t="s">
        <v>155</v>
      </c>
      <c r="L89" s="197" t="s">
        <v>155</v>
      </c>
      <c r="M89" s="225" t="s">
        <v>155</v>
      </c>
      <c r="N89" s="225" t="s">
        <v>155</v>
      </c>
      <c r="O89" s="225" t="s">
        <v>155</v>
      </c>
      <c r="P89" s="224" t="s">
        <v>155</v>
      </c>
      <c r="Q89" s="224" t="s">
        <v>155</v>
      </c>
      <c r="R89" s="197" t="s">
        <v>155</v>
      </c>
      <c r="S89" s="225" t="s">
        <v>155</v>
      </c>
      <c r="T89" s="225" t="s">
        <v>155</v>
      </c>
      <c r="U89" s="193" t="s">
        <v>155</v>
      </c>
      <c r="V89" s="193" t="s">
        <v>155</v>
      </c>
    </row>
    <row r="90" spans="1:22" x14ac:dyDescent="0.3">
      <c r="A90" s="99">
        <v>10</v>
      </c>
      <c r="B90" s="150" t="str">
        <f t="shared" si="6"/>
        <v xml:space="preserve">Bath, Royal United Hospital </v>
      </c>
      <c r="C90" s="282" t="s">
        <v>199</v>
      </c>
      <c r="D90" s="282">
        <v>2022</v>
      </c>
      <c r="E90" s="52" t="s">
        <v>59</v>
      </c>
      <c r="F90" s="39" t="s">
        <v>12</v>
      </c>
      <c r="G90" s="282">
        <v>39</v>
      </c>
      <c r="H90" s="282">
        <v>6</v>
      </c>
      <c r="I90" s="282">
        <v>0</v>
      </c>
      <c r="J90" s="282">
        <v>0</v>
      </c>
      <c r="K90" s="282">
        <v>1</v>
      </c>
      <c r="L90" s="197">
        <v>0</v>
      </c>
      <c r="M90" s="231">
        <v>1</v>
      </c>
      <c r="N90" s="231">
        <v>1</v>
      </c>
      <c r="O90" s="231">
        <v>0</v>
      </c>
      <c r="P90" s="282">
        <v>0</v>
      </c>
      <c r="Q90" s="282">
        <v>0</v>
      </c>
      <c r="R90" s="197">
        <v>0</v>
      </c>
      <c r="S90" s="231">
        <v>0</v>
      </c>
      <c r="T90" s="231">
        <v>0</v>
      </c>
      <c r="U90" s="193">
        <v>0.05</v>
      </c>
      <c r="V90" s="193">
        <v>0.05</v>
      </c>
    </row>
    <row r="91" spans="1:22" x14ac:dyDescent="0.3">
      <c r="A91" s="99">
        <v>11</v>
      </c>
      <c r="B91" s="150" t="str">
        <f t="shared" si="6"/>
        <v>Bristol Royal Hospital for Children</v>
      </c>
      <c r="C91" s="282" t="s">
        <v>199</v>
      </c>
      <c r="D91" s="282">
        <v>2022</v>
      </c>
      <c r="E91" s="52" t="s">
        <v>198</v>
      </c>
      <c r="F91" s="39" t="s">
        <v>12</v>
      </c>
      <c r="G91" s="282">
        <v>70</v>
      </c>
      <c r="H91" s="282">
        <v>0</v>
      </c>
      <c r="I91" s="282">
        <v>303</v>
      </c>
      <c r="J91" s="282">
        <v>254</v>
      </c>
      <c r="K91" s="282">
        <v>423</v>
      </c>
      <c r="L91" s="197">
        <v>261</v>
      </c>
      <c r="M91" s="231">
        <v>1241</v>
      </c>
      <c r="N91" s="231">
        <v>938</v>
      </c>
      <c r="O91" s="231">
        <v>0</v>
      </c>
      <c r="P91" s="282">
        <v>0</v>
      </c>
      <c r="Q91" s="282">
        <v>0</v>
      </c>
      <c r="R91" s="197">
        <v>0</v>
      </c>
      <c r="S91" s="231">
        <v>0</v>
      </c>
      <c r="T91" s="231">
        <v>0</v>
      </c>
      <c r="U91" s="193">
        <v>0.09</v>
      </c>
      <c r="V91" s="193">
        <v>0</v>
      </c>
    </row>
    <row r="92" spans="1:22" x14ac:dyDescent="0.3">
      <c r="A92" s="99">
        <v>12</v>
      </c>
      <c r="B92" s="150" t="str">
        <f t="shared" si="6"/>
        <v xml:space="preserve">Exeter, Royal Devon and Exeter Hospital </v>
      </c>
      <c r="C92" s="282" t="s">
        <v>199</v>
      </c>
      <c r="D92" s="282">
        <v>2022</v>
      </c>
      <c r="E92" s="52" t="s">
        <v>60</v>
      </c>
      <c r="F92" s="39" t="s">
        <v>12</v>
      </c>
      <c r="G92" s="282">
        <v>19</v>
      </c>
      <c r="H92" s="282">
        <v>15</v>
      </c>
      <c r="I92" s="282">
        <v>55</v>
      </c>
      <c r="J92" s="282">
        <v>37</v>
      </c>
      <c r="K92" s="282">
        <v>64</v>
      </c>
      <c r="L92" s="197">
        <v>6</v>
      </c>
      <c r="M92" s="231">
        <v>162</v>
      </c>
      <c r="N92" s="231">
        <v>107</v>
      </c>
      <c r="O92" s="231">
        <v>29</v>
      </c>
      <c r="P92" s="282">
        <v>26</v>
      </c>
      <c r="Q92" s="282">
        <v>48</v>
      </c>
      <c r="R92" s="197">
        <v>18</v>
      </c>
      <c r="S92" s="231">
        <v>121</v>
      </c>
      <c r="T92" s="231">
        <v>92</v>
      </c>
      <c r="U92" s="193">
        <v>0.08</v>
      </c>
      <c r="V92" s="193">
        <v>0.05</v>
      </c>
    </row>
    <row r="93" spans="1:22" x14ac:dyDescent="0.3">
      <c r="A93" s="99">
        <v>13</v>
      </c>
      <c r="B93" s="150" t="str">
        <f t="shared" si="6"/>
        <v>Gloucester, Gloucestershire Hospitals</v>
      </c>
      <c r="C93" s="99"/>
      <c r="D93" s="99"/>
      <c r="E93" s="52"/>
      <c r="F93" s="39"/>
      <c r="G93" s="224" t="s">
        <v>155</v>
      </c>
      <c r="H93" s="224" t="s">
        <v>155</v>
      </c>
      <c r="I93" s="224" t="s">
        <v>155</v>
      </c>
      <c r="J93" s="224" t="s">
        <v>155</v>
      </c>
      <c r="K93" s="224" t="s">
        <v>155</v>
      </c>
      <c r="L93" s="197" t="s">
        <v>155</v>
      </c>
      <c r="M93" s="225" t="s">
        <v>155</v>
      </c>
      <c r="N93" s="225" t="s">
        <v>155</v>
      </c>
      <c r="O93" s="225" t="s">
        <v>155</v>
      </c>
      <c r="P93" s="224" t="s">
        <v>155</v>
      </c>
      <c r="Q93" s="224" t="s">
        <v>155</v>
      </c>
      <c r="R93" s="197" t="s">
        <v>155</v>
      </c>
      <c r="S93" s="225" t="s">
        <v>155</v>
      </c>
      <c r="T93" s="225" t="s">
        <v>155</v>
      </c>
      <c r="U93" s="193" t="s">
        <v>155</v>
      </c>
      <c r="V93" s="193" t="s">
        <v>155</v>
      </c>
    </row>
    <row r="94" spans="1:22" x14ac:dyDescent="0.3">
      <c r="A94" s="99">
        <v>14</v>
      </c>
      <c r="B94" s="150" t="str">
        <f t="shared" si="6"/>
        <v xml:space="preserve">Plymouth, Derriford Hospital </v>
      </c>
      <c r="C94" s="99"/>
      <c r="D94" s="99"/>
      <c r="E94" s="52"/>
      <c r="F94" s="39"/>
      <c r="G94" s="224" t="s">
        <v>155</v>
      </c>
      <c r="H94" s="224" t="s">
        <v>155</v>
      </c>
      <c r="I94" s="224" t="s">
        <v>155</v>
      </c>
      <c r="J94" s="224" t="s">
        <v>155</v>
      </c>
      <c r="K94" s="224" t="s">
        <v>155</v>
      </c>
      <c r="L94" s="197" t="s">
        <v>155</v>
      </c>
      <c r="M94" s="225" t="s">
        <v>155</v>
      </c>
      <c r="N94" s="225" t="s">
        <v>155</v>
      </c>
      <c r="O94" s="225" t="s">
        <v>155</v>
      </c>
      <c r="P94" s="224" t="s">
        <v>155</v>
      </c>
      <c r="Q94" s="224" t="s">
        <v>155</v>
      </c>
      <c r="R94" s="197" t="s">
        <v>155</v>
      </c>
      <c r="S94" s="225" t="s">
        <v>155</v>
      </c>
      <c r="T94" s="225" t="s">
        <v>155</v>
      </c>
      <c r="U94" s="193" t="s">
        <v>155</v>
      </c>
      <c r="V94" s="193" t="s">
        <v>155</v>
      </c>
    </row>
    <row r="95" spans="1:22" x14ac:dyDescent="0.3">
      <c r="A95" s="99">
        <v>15</v>
      </c>
      <c r="B95" s="150" t="str">
        <f t="shared" si="6"/>
        <v xml:space="preserve">Swindon, Great Weston Hospital </v>
      </c>
      <c r="C95" s="282" t="s">
        <v>199</v>
      </c>
      <c r="D95" s="282">
        <v>2022</v>
      </c>
      <c r="E95" s="52" t="s">
        <v>52</v>
      </c>
      <c r="F95" s="39" t="s">
        <v>12</v>
      </c>
      <c r="G95" s="282">
        <v>0</v>
      </c>
      <c r="H95" s="282">
        <v>0</v>
      </c>
      <c r="I95" s="282">
        <v>3</v>
      </c>
      <c r="J95" s="282">
        <v>0</v>
      </c>
      <c r="K95" s="282">
        <v>0</v>
      </c>
      <c r="L95" s="197">
        <v>0</v>
      </c>
      <c r="M95" s="231">
        <v>3</v>
      </c>
      <c r="N95" s="231">
        <v>0</v>
      </c>
      <c r="O95" s="231">
        <v>31</v>
      </c>
      <c r="P95" s="282">
        <v>36</v>
      </c>
      <c r="Q95" s="282">
        <v>0</v>
      </c>
      <c r="R95" s="197">
        <v>0</v>
      </c>
      <c r="S95" s="231">
        <v>67</v>
      </c>
      <c r="T95" s="231">
        <v>36</v>
      </c>
      <c r="U95" s="193">
        <v>0</v>
      </c>
      <c r="V95" s="193">
        <v>0</v>
      </c>
    </row>
    <row r="96" spans="1:22" x14ac:dyDescent="0.3">
      <c r="A96" s="99">
        <v>16</v>
      </c>
      <c r="B96" s="150" t="str">
        <f t="shared" si="6"/>
        <v xml:space="preserve">Taunton, Musgrove Park Hospital </v>
      </c>
      <c r="C96" s="282" t="s">
        <v>199</v>
      </c>
      <c r="D96" s="282">
        <v>2022</v>
      </c>
      <c r="E96" s="52" t="s">
        <v>57</v>
      </c>
      <c r="F96" s="39" t="s">
        <v>12</v>
      </c>
      <c r="G96" s="282">
        <v>46</v>
      </c>
      <c r="H96" s="282">
        <v>46</v>
      </c>
      <c r="I96" s="282">
        <v>37</v>
      </c>
      <c r="J96" s="282">
        <v>63</v>
      </c>
      <c r="K96" s="282">
        <v>0</v>
      </c>
      <c r="L96" s="197">
        <v>0</v>
      </c>
      <c r="M96" s="231">
        <v>100</v>
      </c>
      <c r="N96" s="231">
        <v>63</v>
      </c>
      <c r="O96" s="231">
        <v>22</v>
      </c>
      <c r="P96" s="282">
        <v>42</v>
      </c>
      <c r="Q96" s="282">
        <v>3</v>
      </c>
      <c r="R96" s="197">
        <v>0</v>
      </c>
      <c r="S96" s="231">
        <v>67</v>
      </c>
      <c r="T96" s="231">
        <v>45</v>
      </c>
      <c r="U96" s="193">
        <v>0.08</v>
      </c>
      <c r="V96" s="193">
        <v>7.0000000000000007E-2</v>
      </c>
    </row>
    <row r="97" spans="1:22" x14ac:dyDescent="0.3">
      <c r="A97" s="99">
        <v>17</v>
      </c>
      <c r="B97" s="150" t="str">
        <f t="shared" si="6"/>
        <v xml:space="preserve">Torquay, Torbay General District Hospital </v>
      </c>
      <c r="C97" s="282" t="s">
        <v>199</v>
      </c>
      <c r="D97" s="282">
        <v>2022</v>
      </c>
      <c r="E97" s="52" t="s">
        <v>54</v>
      </c>
      <c r="F97" s="39" t="s">
        <v>12</v>
      </c>
      <c r="G97" s="282">
        <v>4</v>
      </c>
      <c r="H97" s="282">
        <v>4</v>
      </c>
      <c r="I97" s="282">
        <v>59</v>
      </c>
      <c r="J97" s="282">
        <v>39</v>
      </c>
      <c r="K97" s="282">
        <v>32</v>
      </c>
      <c r="L97" s="197">
        <v>2</v>
      </c>
      <c r="M97" s="231">
        <v>132</v>
      </c>
      <c r="N97" s="231">
        <v>73</v>
      </c>
      <c r="O97" s="231">
        <v>20</v>
      </c>
      <c r="P97" s="282">
        <v>31</v>
      </c>
      <c r="Q97" s="282">
        <v>53</v>
      </c>
      <c r="R97" s="197">
        <v>42</v>
      </c>
      <c r="S97" s="231">
        <v>146</v>
      </c>
      <c r="T97" s="231">
        <v>126</v>
      </c>
      <c r="U97" s="193">
        <v>0</v>
      </c>
      <c r="V97" s="193">
        <v>0</v>
      </c>
    </row>
    <row r="98" spans="1:22" x14ac:dyDescent="0.3">
      <c r="A98" s="99">
        <v>18</v>
      </c>
      <c r="B98" s="153" t="str">
        <f t="shared" si="6"/>
        <v xml:space="preserve">Truro, Royal Cornwall Hospital </v>
      </c>
      <c r="C98" s="282" t="s">
        <v>199</v>
      </c>
      <c r="D98" s="282">
        <v>2022</v>
      </c>
      <c r="E98" s="52" t="s">
        <v>62</v>
      </c>
      <c r="F98" s="39" t="s">
        <v>12</v>
      </c>
      <c r="G98" s="282">
        <v>7</v>
      </c>
      <c r="H98" s="282">
        <v>10</v>
      </c>
      <c r="I98" s="282">
        <v>2</v>
      </c>
      <c r="J98" s="282">
        <v>0</v>
      </c>
      <c r="K98" s="282">
        <v>0</v>
      </c>
      <c r="L98" s="197">
        <v>0</v>
      </c>
      <c r="M98" s="231">
        <v>2</v>
      </c>
      <c r="N98" s="231">
        <v>0</v>
      </c>
      <c r="O98" s="231">
        <v>20</v>
      </c>
      <c r="P98" s="282">
        <v>6</v>
      </c>
      <c r="Q98" s="282">
        <v>5</v>
      </c>
      <c r="R98" s="197">
        <v>0</v>
      </c>
      <c r="S98" s="231">
        <v>31</v>
      </c>
      <c r="T98" s="231">
        <v>11</v>
      </c>
      <c r="U98" s="193">
        <v>0.1</v>
      </c>
      <c r="V98" s="193">
        <v>7.0000000000000007E-2</v>
      </c>
    </row>
    <row r="99" spans="1:22" x14ac:dyDescent="0.3">
      <c r="C99" s="49"/>
      <c r="D99" s="49"/>
      <c r="E99" s="6">
        <f t="shared" ref="E99:V99" ca="1" si="7">OFFSET(E81,PaedChoice-1,0)</f>
        <v>0</v>
      </c>
      <c r="F99" s="6">
        <f t="shared" ca="1" si="7"/>
        <v>0</v>
      </c>
      <c r="G99" s="5" t="str">
        <f t="shared" ca="1" si="7"/>
        <v>No data</v>
      </c>
      <c r="H99" s="5" t="str">
        <f t="shared" ca="1" si="7"/>
        <v>No data</v>
      </c>
      <c r="I99" s="5" t="str">
        <f t="shared" ca="1" si="7"/>
        <v>No data</v>
      </c>
      <c r="J99" s="5" t="str">
        <f t="shared" ca="1" si="7"/>
        <v>No data</v>
      </c>
      <c r="K99" s="5" t="str">
        <f t="shared" ca="1" si="7"/>
        <v>No data</v>
      </c>
      <c r="L99" s="5" t="str">
        <f t="shared" ca="1" si="7"/>
        <v>No data</v>
      </c>
      <c r="M99" s="5" t="str">
        <f t="shared" ca="1" si="7"/>
        <v>No data</v>
      </c>
      <c r="N99" s="5" t="str">
        <f t="shared" ca="1" si="7"/>
        <v>No data</v>
      </c>
      <c r="O99" s="5" t="str">
        <f t="shared" ca="1" si="7"/>
        <v>No data</v>
      </c>
      <c r="P99" s="5" t="str">
        <f t="shared" ca="1" si="7"/>
        <v>No data</v>
      </c>
      <c r="Q99" s="5" t="str">
        <f t="shared" ca="1" si="7"/>
        <v>No data</v>
      </c>
      <c r="R99" s="5" t="str">
        <f t="shared" ca="1" si="7"/>
        <v>No data</v>
      </c>
      <c r="S99" s="5" t="str">
        <f t="shared" ca="1" si="7"/>
        <v>No data</v>
      </c>
      <c r="T99" s="5" t="str">
        <f t="shared" ca="1" si="7"/>
        <v>No data</v>
      </c>
      <c r="U99" s="241" t="str">
        <f t="shared" ca="1" si="7"/>
        <v>No data</v>
      </c>
      <c r="V99" s="241" t="str">
        <f t="shared" ca="1" si="7"/>
        <v>No data</v>
      </c>
    </row>
    <row r="100" spans="1:22" s="37" customFormat="1" ht="21" x14ac:dyDescent="0.3"/>
    <row r="101" spans="1:22" s="7" customFormat="1" ht="21" x14ac:dyDescent="0.3">
      <c r="A101" s="7" t="s">
        <v>6</v>
      </c>
    </row>
    <row r="102" spans="1:22" s="37" customFormat="1" ht="21" x14ac:dyDescent="0.3">
      <c r="A102" s="54" t="s">
        <v>63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</row>
    <row r="103" spans="1:22" x14ac:dyDescent="0.3">
      <c r="B103" s="2">
        <v>2</v>
      </c>
      <c r="C103" s="2">
        <v>3</v>
      </c>
      <c r="D103" s="2">
        <v>4</v>
      </c>
      <c r="E103" s="2">
        <v>5</v>
      </c>
      <c r="F103" s="2">
        <v>6</v>
      </c>
      <c r="G103" s="2">
        <v>7</v>
      </c>
      <c r="H103" s="2">
        <v>8</v>
      </c>
      <c r="I103" s="2">
        <v>9</v>
      </c>
      <c r="J103" s="2">
        <v>10</v>
      </c>
      <c r="K103" s="2">
        <v>11</v>
      </c>
      <c r="L103" s="2">
        <v>12</v>
      </c>
      <c r="M103" s="2">
        <v>13</v>
      </c>
      <c r="N103" s="2">
        <v>14</v>
      </c>
      <c r="O103" s="2">
        <v>15</v>
      </c>
      <c r="P103" s="2">
        <v>16</v>
      </c>
      <c r="Q103" s="2">
        <v>17</v>
      </c>
      <c r="R103" s="2">
        <v>18</v>
      </c>
      <c r="S103" s="2">
        <v>19</v>
      </c>
      <c r="T103" s="2">
        <v>20</v>
      </c>
      <c r="U103" s="2">
        <v>21</v>
      </c>
      <c r="V103" s="2">
        <v>22</v>
      </c>
    </row>
    <row r="104" spans="1:22" s="48" customFormat="1" x14ac:dyDescent="0.3">
      <c r="A104" s="99"/>
      <c r="B104" s="99"/>
      <c r="C104" s="430" t="s">
        <v>110</v>
      </c>
      <c r="D104" s="430" t="s">
        <v>111</v>
      </c>
      <c r="E104" s="430" t="s">
        <v>0</v>
      </c>
      <c r="F104" s="430" t="s">
        <v>112</v>
      </c>
      <c r="G104" s="430" t="s">
        <v>42</v>
      </c>
      <c r="H104" s="430"/>
      <c r="I104" s="430" t="s">
        <v>43</v>
      </c>
      <c r="J104" s="430"/>
      <c r="K104" s="430"/>
      <c r="L104" s="430"/>
      <c r="M104" s="430"/>
      <c r="N104" s="430"/>
      <c r="O104" s="430"/>
      <c r="P104" s="430"/>
      <c r="Q104" s="430"/>
      <c r="R104" s="430"/>
      <c r="S104" s="430"/>
      <c r="T104" s="430"/>
      <c r="U104" s="430" t="s">
        <v>41</v>
      </c>
      <c r="V104" s="430"/>
    </row>
    <row r="105" spans="1:22" s="48" customFormat="1" x14ac:dyDescent="0.3">
      <c r="A105" s="99"/>
      <c r="B105" s="99"/>
      <c r="C105" s="430"/>
      <c r="D105" s="430"/>
      <c r="E105" s="430"/>
      <c r="F105" s="430"/>
      <c r="G105" s="430" t="s">
        <v>1</v>
      </c>
      <c r="H105" s="430" t="s">
        <v>2</v>
      </c>
      <c r="I105" s="430" t="s">
        <v>1</v>
      </c>
      <c r="J105" s="430"/>
      <c r="K105" s="430"/>
      <c r="L105" s="430"/>
      <c r="M105" s="430"/>
      <c r="N105" s="430"/>
      <c r="O105" s="430" t="s">
        <v>40</v>
      </c>
      <c r="P105" s="430"/>
      <c r="Q105" s="430"/>
      <c r="R105" s="430"/>
      <c r="S105" s="430"/>
      <c r="T105" s="430"/>
      <c r="U105" s="430" t="s">
        <v>1</v>
      </c>
      <c r="V105" s="430" t="s">
        <v>40</v>
      </c>
    </row>
    <row r="106" spans="1:22" s="48" customFormat="1" ht="28.8" x14ac:dyDescent="0.3">
      <c r="A106" s="99"/>
      <c r="B106" s="99"/>
      <c r="C106" s="430"/>
      <c r="D106" s="430"/>
      <c r="E106" s="430"/>
      <c r="F106" s="430"/>
      <c r="G106" s="430"/>
      <c r="H106" s="430"/>
      <c r="I106" s="99" t="s">
        <v>113</v>
      </c>
      <c r="J106" s="99" t="s">
        <v>37</v>
      </c>
      <c r="K106" s="99" t="s">
        <v>38</v>
      </c>
      <c r="L106" s="38" t="s">
        <v>39</v>
      </c>
      <c r="M106" s="99" t="s">
        <v>114</v>
      </c>
      <c r="N106" s="99" t="s">
        <v>115</v>
      </c>
      <c r="O106" s="99" t="s">
        <v>113</v>
      </c>
      <c r="P106" s="99" t="s">
        <v>37</v>
      </c>
      <c r="Q106" s="99" t="s">
        <v>38</v>
      </c>
      <c r="R106" s="38" t="s">
        <v>39</v>
      </c>
      <c r="S106" s="99" t="s">
        <v>114</v>
      </c>
      <c r="T106" s="99" t="s">
        <v>116</v>
      </c>
      <c r="U106" s="430"/>
      <c r="V106" s="430"/>
    </row>
    <row r="107" spans="1:22" s="48" customFormat="1" ht="28.8" x14ac:dyDescent="0.3">
      <c r="A107" s="99">
        <v>1</v>
      </c>
      <c r="B107" s="150" t="str">
        <f t="shared" ref="B107:B123" si="8">VLOOKUP(A107,AdultSites,2)</f>
        <v>Aneurin Bevan UHB, Nevill Hall &amp; Royal Gwent Hospitals</v>
      </c>
      <c r="C107" s="283" t="s">
        <v>204</v>
      </c>
      <c r="D107" s="283">
        <v>2022</v>
      </c>
      <c r="E107" s="134" t="s">
        <v>157</v>
      </c>
      <c r="F107" s="39" t="s">
        <v>11</v>
      </c>
      <c r="G107" s="283">
        <v>0</v>
      </c>
      <c r="H107" s="283">
        <v>0</v>
      </c>
      <c r="I107" s="283">
        <v>9</v>
      </c>
      <c r="J107" s="283">
        <v>9</v>
      </c>
      <c r="K107" s="283">
        <v>6</v>
      </c>
      <c r="L107" s="197">
        <v>0</v>
      </c>
      <c r="M107" s="231">
        <v>24</v>
      </c>
      <c r="N107" s="231">
        <v>15</v>
      </c>
      <c r="O107" s="231">
        <v>134</v>
      </c>
      <c r="P107" s="283">
        <v>17</v>
      </c>
      <c r="Q107" s="283">
        <v>46</v>
      </c>
      <c r="R107" s="197">
        <v>131</v>
      </c>
      <c r="S107" s="231">
        <v>328</v>
      </c>
      <c r="T107" s="231">
        <v>194</v>
      </c>
      <c r="U107" s="193">
        <v>0</v>
      </c>
      <c r="V107" s="193">
        <v>0</v>
      </c>
    </row>
    <row r="108" spans="1:22" s="48" customFormat="1" ht="28.8" x14ac:dyDescent="0.3">
      <c r="A108" s="99">
        <v>2</v>
      </c>
      <c r="B108" s="150" t="str">
        <f t="shared" si="8"/>
        <v>University Hospital Wales</v>
      </c>
      <c r="C108" s="283" t="s">
        <v>204</v>
      </c>
      <c r="D108" s="283">
        <v>2022</v>
      </c>
      <c r="E108" s="134" t="s">
        <v>158</v>
      </c>
      <c r="F108" s="39" t="s">
        <v>11</v>
      </c>
      <c r="G108" s="283">
        <v>20</v>
      </c>
      <c r="H108" s="283">
        <v>0</v>
      </c>
      <c r="I108" s="283">
        <v>16</v>
      </c>
      <c r="J108" s="283">
        <v>27</v>
      </c>
      <c r="K108" s="283">
        <v>46</v>
      </c>
      <c r="L108" s="197">
        <v>19</v>
      </c>
      <c r="M108" s="231">
        <v>108</v>
      </c>
      <c r="N108" s="231">
        <v>92</v>
      </c>
      <c r="O108" s="231">
        <v>0</v>
      </c>
      <c r="P108" s="283">
        <v>0</v>
      </c>
      <c r="Q108" s="283">
        <v>0</v>
      </c>
      <c r="R108" s="197">
        <v>0</v>
      </c>
      <c r="S108" s="231">
        <v>0</v>
      </c>
      <c r="T108" s="231">
        <v>0</v>
      </c>
      <c r="U108" s="193">
        <v>0.05</v>
      </c>
      <c r="V108" s="193">
        <v>0</v>
      </c>
    </row>
    <row r="109" spans="1:22" s="48" customFormat="1" ht="28.8" x14ac:dyDescent="0.3">
      <c r="A109" s="99">
        <v>3</v>
      </c>
      <c r="B109" s="150" t="str">
        <f t="shared" si="8"/>
        <v>Cwm Taf Morgannwg UHB, Princess of Wales Hospital</v>
      </c>
      <c r="C109" s="283" t="s">
        <v>204</v>
      </c>
      <c r="D109" s="283">
        <v>2022</v>
      </c>
      <c r="E109" s="134" t="s">
        <v>159</v>
      </c>
      <c r="F109" s="39" t="s">
        <v>11</v>
      </c>
      <c r="G109" s="283">
        <v>0</v>
      </c>
      <c r="H109" s="283">
        <v>0</v>
      </c>
      <c r="I109" s="283">
        <v>0</v>
      </c>
      <c r="J109" s="283">
        <v>0</v>
      </c>
      <c r="K109" s="283">
        <v>0</v>
      </c>
      <c r="L109" s="197">
        <v>0</v>
      </c>
      <c r="M109" s="231">
        <v>0</v>
      </c>
      <c r="N109" s="231">
        <v>0</v>
      </c>
      <c r="O109" s="231">
        <v>21</v>
      </c>
      <c r="P109" s="283">
        <v>14</v>
      </c>
      <c r="Q109" s="283">
        <v>41</v>
      </c>
      <c r="R109" s="197">
        <v>118</v>
      </c>
      <c r="S109" s="231">
        <v>194</v>
      </c>
      <c r="T109" s="231">
        <v>173</v>
      </c>
      <c r="U109" s="193">
        <v>0</v>
      </c>
      <c r="V109" s="193">
        <v>0</v>
      </c>
    </row>
    <row r="110" spans="1:22" s="48" customFormat="1" ht="28.8" x14ac:dyDescent="0.3">
      <c r="A110" s="99">
        <v>4</v>
      </c>
      <c r="B110" s="150" t="str">
        <f t="shared" si="8"/>
        <v xml:space="preserve">Cwm Taf Morgannwg UHB, Royal Glamorgan Hospital </v>
      </c>
      <c r="C110" s="283" t="s">
        <v>204</v>
      </c>
      <c r="D110" s="283">
        <v>2022</v>
      </c>
      <c r="E110" s="134" t="s">
        <v>160</v>
      </c>
      <c r="F110" s="39" t="s">
        <v>11</v>
      </c>
      <c r="G110" s="283">
        <v>0</v>
      </c>
      <c r="H110" s="283">
        <v>0</v>
      </c>
      <c r="I110" s="283">
        <v>0</v>
      </c>
      <c r="J110" s="283">
        <v>0</v>
      </c>
      <c r="K110" s="283">
        <v>0</v>
      </c>
      <c r="L110" s="197">
        <v>0</v>
      </c>
      <c r="M110" s="231">
        <v>0</v>
      </c>
      <c r="N110" s="231">
        <v>0</v>
      </c>
      <c r="O110" s="231">
        <v>0</v>
      </c>
      <c r="P110" s="283">
        <v>0</v>
      </c>
      <c r="Q110" s="283">
        <v>0</v>
      </c>
      <c r="R110" s="197">
        <v>0</v>
      </c>
      <c r="S110" s="231">
        <v>0</v>
      </c>
      <c r="T110" s="231">
        <v>0</v>
      </c>
      <c r="U110" s="193">
        <v>0.09</v>
      </c>
      <c r="V110" s="193">
        <v>0</v>
      </c>
    </row>
    <row r="111" spans="1:22" s="48" customFormat="1" ht="28.8" x14ac:dyDescent="0.3">
      <c r="A111" s="99">
        <v>5</v>
      </c>
      <c r="B111" s="150" t="str">
        <f t="shared" si="8"/>
        <v>Cwm Taf Morgannwg UHB, Prince Charles Hospital</v>
      </c>
      <c r="C111" s="283" t="s">
        <v>204</v>
      </c>
      <c r="D111" s="283">
        <v>2022</v>
      </c>
      <c r="E111" s="134" t="s">
        <v>161</v>
      </c>
      <c r="F111" s="39" t="s">
        <v>11</v>
      </c>
      <c r="G111" s="283">
        <v>0</v>
      </c>
      <c r="H111" s="283">
        <v>0</v>
      </c>
      <c r="I111" s="283">
        <v>0</v>
      </c>
      <c r="J111" s="283">
        <v>0</v>
      </c>
      <c r="K111" s="283">
        <v>0</v>
      </c>
      <c r="L111" s="197">
        <v>0</v>
      </c>
      <c r="M111" s="231">
        <v>0</v>
      </c>
      <c r="N111" s="231">
        <v>0</v>
      </c>
      <c r="O111" s="231">
        <v>0</v>
      </c>
      <c r="P111" s="283">
        <v>0</v>
      </c>
      <c r="Q111" s="283">
        <v>0</v>
      </c>
      <c r="R111" s="197">
        <v>0</v>
      </c>
      <c r="S111" s="231">
        <v>0</v>
      </c>
      <c r="T111" s="231">
        <v>0</v>
      </c>
      <c r="U111" s="193">
        <v>0</v>
      </c>
      <c r="V111" s="193">
        <v>0</v>
      </c>
    </row>
    <row r="112" spans="1:22" s="48" customFormat="1" x14ac:dyDescent="0.3">
      <c r="A112" s="99">
        <v>6</v>
      </c>
      <c r="B112" s="150" t="str">
        <f t="shared" si="8"/>
        <v>Hywel Dda UHB, Glangwilli Hospital</v>
      </c>
      <c r="C112" s="283" t="s">
        <v>204</v>
      </c>
      <c r="D112" s="283">
        <v>2022</v>
      </c>
      <c r="E112" s="134" t="s">
        <v>165</v>
      </c>
      <c r="F112" s="39" t="s">
        <v>11</v>
      </c>
      <c r="G112" s="283">
        <v>0</v>
      </c>
      <c r="H112" s="283">
        <v>0</v>
      </c>
      <c r="I112" s="283">
        <v>0</v>
      </c>
      <c r="J112" s="283">
        <v>0</v>
      </c>
      <c r="K112" s="283">
        <v>0</v>
      </c>
      <c r="L112" s="197">
        <v>0</v>
      </c>
      <c r="M112" s="231">
        <v>0</v>
      </c>
      <c r="N112" s="231">
        <v>0</v>
      </c>
      <c r="O112" s="231">
        <v>40</v>
      </c>
      <c r="P112" s="283">
        <v>26</v>
      </c>
      <c r="Q112" s="283">
        <v>22</v>
      </c>
      <c r="R112" s="197">
        <v>28</v>
      </c>
      <c r="S112" s="231">
        <v>116</v>
      </c>
      <c r="T112" s="231">
        <v>76</v>
      </c>
      <c r="U112" s="193">
        <v>0</v>
      </c>
      <c r="V112" s="193">
        <v>0</v>
      </c>
    </row>
    <row r="113" spans="1:22" s="48" customFormat="1" ht="28.8" x14ac:dyDescent="0.3">
      <c r="A113" s="99">
        <v>7</v>
      </c>
      <c r="B113" s="150" t="str">
        <f t="shared" si="8"/>
        <v>Hywel Dda UHB, Withybush Hospital</v>
      </c>
      <c r="C113" s="283" t="s">
        <v>204</v>
      </c>
      <c r="D113" s="283">
        <v>2022</v>
      </c>
      <c r="E113" s="134" t="s">
        <v>166</v>
      </c>
      <c r="F113" s="39" t="s">
        <v>11</v>
      </c>
      <c r="G113" s="283">
        <v>0</v>
      </c>
      <c r="H113" s="283">
        <v>0</v>
      </c>
      <c r="I113" s="283">
        <v>1</v>
      </c>
      <c r="J113" s="283">
        <v>1</v>
      </c>
      <c r="K113" s="283">
        <v>1</v>
      </c>
      <c r="L113" s="197">
        <v>0</v>
      </c>
      <c r="M113" s="231">
        <v>3</v>
      </c>
      <c r="N113" s="231">
        <v>2</v>
      </c>
      <c r="O113" s="231">
        <v>0</v>
      </c>
      <c r="P113" s="283">
        <v>0</v>
      </c>
      <c r="Q113" s="283">
        <v>0</v>
      </c>
      <c r="R113" s="197">
        <v>0</v>
      </c>
      <c r="S113" s="231">
        <v>0</v>
      </c>
      <c r="T113" s="231">
        <v>0</v>
      </c>
      <c r="U113" s="193">
        <v>0</v>
      </c>
      <c r="V113" s="193">
        <v>0</v>
      </c>
    </row>
    <row r="114" spans="1:22" s="48" customFormat="1" ht="28.8" x14ac:dyDescent="0.3">
      <c r="A114" s="99">
        <v>8</v>
      </c>
      <c r="B114" s="150" t="str">
        <f t="shared" si="8"/>
        <v>Swansea Bay UHB, Morriston / Singleton Hospitals</v>
      </c>
      <c r="C114" s="283" t="s">
        <v>204</v>
      </c>
      <c r="D114" s="283">
        <v>2022</v>
      </c>
      <c r="E114" s="134" t="s">
        <v>162</v>
      </c>
      <c r="F114" s="39" t="s">
        <v>11</v>
      </c>
      <c r="G114" s="283">
        <v>0</v>
      </c>
      <c r="H114" s="283">
        <v>0</v>
      </c>
      <c r="I114" s="283">
        <v>38</v>
      </c>
      <c r="J114" s="283">
        <v>30</v>
      </c>
      <c r="K114" s="283">
        <v>35</v>
      </c>
      <c r="L114" s="197">
        <v>40</v>
      </c>
      <c r="M114" s="231">
        <v>143</v>
      </c>
      <c r="N114" s="231">
        <v>105</v>
      </c>
      <c r="O114" s="231">
        <v>0</v>
      </c>
      <c r="P114" s="283">
        <v>0</v>
      </c>
      <c r="Q114" s="283">
        <v>0</v>
      </c>
      <c r="R114" s="197">
        <v>0</v>
      </c>
      <c r="S114" s="231">
        <v>0</v>
      </c>
      <c r="T114" s="231">
        <v>0</v>
      </c>
      <c r="U114" s="193" t="s">
        <v>205</v>
      </c>
      <c r="V114" s="193">
        <v>0</v>
      </c>
    </row>
    <row r="115" spans="1:22" s="48" customFormat="1" ht="28.8" x14ac:dyDescent="0.3">
      <c r="A115" s="99">
        <v>9</v>
      </c>
      <c r="B115" s="150" t="str">
        <f t="shared" si="8"/>
        <v xml:space="preserve">Barnstaple, North Devon District Hospital </v>
      </c>
      <c r="C115" s="283" t="s">
        <v>204</v>
      </c>
      <c r="D115" s="283">
        <v>2022</v>
      </c>
      <c r="E115" s="134" t="s">
        <v>58</v>
      </c>
      <c r="F115" s="39" t="s">
        <v>11</v>
      </c>
      <c r="G115" s="283">
        <v>32</v>
      </c>
      <c r="H115" s="283">
        <v>32</v>
      </c>
      <c r="I115" s="283">
        <v>6</v>
      </c>
      <c r="J115" s="283">
        <v>18</v>
      </c>
      <c r="K115" s="283">
        <v>38</v>
      </c>
      <c r="L115" s="197">
        <v>8</v>
      </c>
      <c r="M115" s="231">
        <v>70</v>
      </c>
      <c r="N115" s="231">
        <v>64</v>
      </c>
      <c r="O115" s="231">
        <v>6</v>
      </c>
      <c r="P115" s="283">
        <v>18</v>
      </c>
      <c r="Q115" s="283">
        <v>38</v>
      </c>
      <c r="R115" s="197">
        <v>8</v>
      </c>
      <c r="S115" s="231">
        <v>70</v>
      </c>
      <c r="T115" s="231">
        <v>64</v>
      </c>
      <c r="U115" s="193">
        <v>0</v>
      </c>
      <c r="V115" s="193">
        <v>0</v>
      </c>
    </row>
    <row r="116" spans="1:22" s="48" customFormat="1" x14ac:dyDescent="0.3">
      <c r="A116" s="99">
        <v>10</v>
      </c>
      <c r="B116" s="150" t="str">
        <f t="shared" si="8"/>
        <v>Bristol, Bristol Heart Institute</v>
      </c>
      <c r="C116" s="283" t="s">
        <v>204</v>
      </c>
      <c r="D116" s="283">
        <v>2022</v>
      </c>
      <c r="E116" s="134" t="s">
        <v>196</v>
      </c>
      <c r="F116" s="39" t="s">
        <v>11</v>
      </c>
      <c r="G116" s="283">
        <v>26</v>
      </c>
      <c r="H116" s="283" t="s">
        <v>197</v>
      </c>
      <c r="I116" s="283">
        <v>458</v>
      </c>
      <c r="J116" s="283">
        <v>392</v>
      </c>
      <c r="K116" s="283">
        <v>229</v>
      </c>
      <c r="L116" s="197">
        <v>50</v>
      </c>
      <c r="M116" s="231">
        <v>1129</v>
      </c>
      <c r="N116" s="231">
        <v>671</v>
      </c>
      <c r="O116" s="231" t="s">
        <v>197</v>
      </c>
      <c r="P116" s="283" t="s">
        <v>197</v>
      </c>
      <c r="Q116" s="283" t="s">
        <v>197</v>
      </c>
      <c r="R116" s="197" t="s">
        <v>197</v>
      </c>
      <c r="S116" s="231">
        <v>0</v>
      </c>
      <c r="T116" s="231">
        <v>0</v>
      </c>
      <c r="U116" s="193">
        <v>0.12</v>
      </c>
      <c r="V116" s="193" t="s">
        <v>197</v>
      </c>
    </row>
    <row r="117" spans="1:22" s="48" customFormat="1" x14ac:dyDescent="0.3">
      <c r="A117" s="99">
        <v>11</v>
      </c>
      <c r="B117" s="150" t="str">
        <f t="shared" si="8"/>
        <v xml:space="preserve">Exeter, Royal Devon and Exeter Hospital </v>
      </c>
      <c r="C117" s="99"/>
      <c r="D117" s="99"/>
      <c r="E117" s="134"/>
      <c r="F117" s="39"/>
      <c r="G117" s="224" t="s">
        <v>155</v>
      </c>
      <c r="H117" s="224" t="s">
        <v>155</v>
      </c>
      <c r="I117" s="224" t="s">
        <v>155</v>
      </c>
      <c r="J117" s="224" t="s">
        <v>155</v>
      </c>
      <c r="K117" s="224" t="s">
        <v>155</v>
      </c>
      <c r="L117" s="197" t="s">
        <v>155</v>
      </c>
      <c r="M117" s="225" t="s">
        <v>155</v>
      </c>
      <c r="N117" s="225" t="s">
        <v>155</v>
      </c>
      <c r="O117" s="225" t="s">
        <v>155</v>
      </c>
      <c r="P117" s="224" t="s">
        <v>155</v>
      </c>
      <c r="Q117" s="224" t="s">
        <v>155</v>
      </c>
      <c r="R117" s="197" t="s">
        <v>155</v>
      </c>
      <c r="S117" s="225" t="s">
        <v>155</v>
      </c>
      <c r="T117" s="225" t="s">
        <v>155</v>
      </c>
      <c r="U117" s="193" t="s">
        <v>155</v>
      </c>
      <c r="V117" s="193" t="s">
        <v>155</v>
      </c>
    </row>
    <row r="118" spans="1:22" s="48" customFormat="1" ht="28.8" x14ac:dyDescent="0.3">
      <c r="A118" s="99">
        <v>12</v>
      </c>
      <c r="B118" s="150" t="str">
        <f t="shared" si="8"/>
        <v>Gloucester, Gloucestershire Hospitals</v>
      </c>
      <c r="C118" s="283" t="s">
        <v>204</v>
      </c>
      <c r="D118" s="283">
        <v>2022</v>
      </c>
      <c r="E118" s="134" t="s">
        <v>56</v>
      </c>
      <c r="F118" s="39" t="s">
        <v>11</v>
      </c>
      <c r="G118" s="283">
        <v>24</v>
      </c>
      <c r="H118" s="283">
        <v>24</v>
      </c>
      <c r="I118" s="283">
        <v>10</v>
      </c>
      <c r="J118" s="283">
        <v>7</v>
      </c>
      <c r="K118" s="283">
        <v>21</v>
      </c>
      <c r="L118" s="197">
        <v>45</v>
      </c>
      <c r="M118" s="231">
        <v>83</v>
      </c>
      <c r="N118" s="231">
        <v>73</v>
      </c>
      <c r="O118" s="231">
        <v>10</v>
      </c>
      <c r="P118" s="283">
        <v>7</v>
      </c>
      <c r="Q118" s="283">
        <v>21</v>
      </c>
      <c r="R118" s="197">
        <v>45</v>
      </c>
      <c r="S118" s="231">
        <v>83</v>
      </c>
      <c r="T118" s="231">
        <v>73</v>
      </c>
      <c r="U118" s="193">
        <v>0</v>
      </c>
      <c r="V118" s="193">
        <v>0</v>
      </c>
    </row>
    <row r="119" spans="1:22" s="48" customFormat="1" x14ac:dyDescent="0.3">
      <c r="A119" s="99">
        <v>13</v>
      </c>
      <c r="B119" s="150" t="str">
        <f t="shared" si="8"/>
        <v xml:space="preserve">Plymouth, Derriford Hospital </v>
      </c>
      <c r="C119" s="283" t="s">
        <v>204</v>
      </c>
      <c r="D119" s="283">
        <v>2022</v>
      </c>
      <c r="E119" s="134" t="s">
        <v>61</v>
      </c>
      <c r="F119" s="39" t="s">
        <v>11</v>
      </c>
      <c r="G119" s="283">
        <v>36</v>
      </c>
      <c r="H119" s="283">
        <v>0</v>
      </c>
      <c r="I119" s="283">
        <v>129</v>
      </c>
      <c r="J119" s="283">
        <v>73</v>
      </c>
      <c r="K119" s="283">
        <v>77</v>
      </c>
      <c r="L119" s="197">
        <v>90</v>
      </c>
      <c r="M119" s="231">
        <v>369</v>
      </c>
      <c r="N119" s="231">
        <v>240</v>
      </c>
      <c r="O119" s="231">
        <v>0</v>
      </c>
      <c r="P119" s="283">
        <v>0</v>
      </c>
      <c r="Q119" s="283">
        <v>0</v>
      </c>
      <c r="R119" s="197">
        <v>0</v>
      </c>
      <c r="S119" s="231">
        <v>0</v>
      </c>
      <c r="T119" s="231">
        <v>0</v>
      </c>
      <c r="U119" s="193">
        <v>0.04</v>
      </c>
      <c r="V119" s="193">
        <v>0</v>
      </c>
    </row>
    <row r="120" spans="1:22" s="48" customFormat="1" x14ac:dyDescent="0.3">
      <c r="A120" s="99">
        <v>14</v>
      </c>
      <c r="B120" s="150" t="str">
        <f t="shared" si="8"/>
        <v xml:space="preserve">Swindon, Great Weston Hospital </v>
      </c>
      <c r="C120" s="99"/>
      <c r="D120" s="99"/>
      <c r="E120" s="134"/>
      <c r="F120" s="39"/>
      <c r="G120" s="224" t="s">
        <v>155</v>
      </c>
      <c r="H120" s="224" t="s">
        <v>155</v>
      </c>
      <c r="I120" s="224" t="s">
        <v>155</v>
      </c>
      <c r="J120" s="224" t="s">
        <v>155</v>
      </c>
      <c r="K120" s="224" t="s">
        <v>155</v>
      </c>
      <c r="L120" s="197" t="s">
        <v>155</v>
      </c>
      <c r="M120" s="225" t="s">
        <v>155</v>
      </c>
      <c r="N120" s="225" t="s">
        <v>155</v>
      </c>
      <c r="O120" s="225" t="s">
        <v>155</v>
      </c>
      <c r="P120" s="224" t="s">
        <v>155</v>
      </c>
      <c r="Q120" s="224" t="s">
        <v>155</v>
      </c>
      <c r="R120" s="197" t="s">
        <v>155</v>
      </c>
      <c r="S120" s="225" t="s">
        <v>155</v>
      </c>
      <c r="T120" s="225" t="s">
        <v>155</v>
      </c>
      <c r="U120" s="193" t="s">
        <v>155</v>
      </c>
      <c r="V120" s="193" t="s">
        <v>155</v>
      </c>
    </row>
    <row r="121" spans="1:22" s="48" customFormat="1" x14ac:dyDescent="0.3">
      <c r="A121" s="99">
        <v>15</v>
      </c>
      <c r="B121" s="150" t="str">
        <f t="shared" si="8"/>
        <v xml:space="preserve">Taunton, Musgrove Park Hospital </v>
      </c>
      <c r="C121" s="283" t="s">
        <v>204</v>
      </c>
      <c r="D121" s="283">
        <v>2022</v>
      </c>
      <c r="E121" s="134" t="s">
        <v>57</v>
      </c>
      <c r="F121" s="39" t="s">
        <v>11</v>
      </c>
      <c r="G121" s="283">
        <v>5</v>
      </c>
      <c r="H121" s="283">
        <v>6</v>
      </c>
      <c r="I121" s="283">
        <v>3</v>
      </c>
      <c r="J121" s="283">
        <v>0</v>
      </c>
      <c r="K121" s="283">
        <v>0</v>
      </c>
      <c r="L121" s="197">
        <v>0</v>
      </c>
      <c r="M121" s="231">
        <v>3</v>
      </c>
      <c r="N121" s="231">
        <v>0</v>
      </c>
      <c r="O121" s="231">
        <v>9</v>
      </c>
      <c r="P121" s="283">
        <v>0</v>
      </c>
      <c r="Q121" s="283">
        <v>0</v>
      </c>
      <c r="R121" s="197">
        <v>0</v>
      </c>
      <c r="S121" s="231">
        <v>9</v>
      </c>
      <c r="T121" s="231">
        <v>0</v>
      </c>
      <c r="U121" s="193">
        <v>0.06</v>
      </c>
      <c r="V121" s="193">
        <v>0.08</v>
      </c>
    </row>
    <row r="122" spans="1:22" s="48" customFormat="1" ht="28.8" x14ac:dyDescent="0.3">
      <c r="A122" s="99">
        <v>16</v>
      </c>
      <c r="B122" s="150" t="str">
        <f t="shared" si="8"/>
        <v xml:space="preserve">Torquay, Torbay General District Hospital </v>
      </c>
      <c r="C122" s="283" t="s">
        <v>204</v>
      </c>
      <c r="D122" s="283">
        <v>2022</v>
      </c>
      <c r="E122" s="134" t="s">
        <v>54</v>
      </c>
      <c r="F122" s="39" t="s">
        <v>11</v>
      </c>
      <c r="G122" s="283">
        <v>5</v>
      </c>
      <c r="H122" s="283">
        <v>0</v>
      </c>
      <c r="I122" s="283">
        <v>11</v>
      </c>
      <c r="J122" s="283">
        <v>0</v>
      </c>
      <c r="K122" s="283">
        <v>0</v>
      </c>
      <c r="L122" s="197">
        <v>0</v>
      </c>
      <c r="M122" s="231">
        <v>11</v>
      </c>
      <c r="N122" s="231">
        <v>0</v>
      </c>
      <c r="O122" s="231">
        <v>3</v>
      </c>
      <c r="P122" s="283">
        <v>7</v>
      </c>
      <c r="Q122" s="283">
        <v>12</v>
      </c>
      <c r="R122" s="197">
        <v>1</v>
      </c>
      <c r="S122" s="231">
        <v>23</v>
      </c>
      <c r="T122" s="231">
        <v>20</v>
      </c>
      <c r="U122" s="193">
        <v>0.06</v>
      </c>
      <c r="V122" s="193">
        <v>0</v>
      </c>
    </row>
    <row r="123" spans="1:22" s="48" customFormat="1" x14ac:dyDescent="0.3">
      <c r="A123" s="99">
        <v>17</v>
      </c>
      <c r="B123" s="153" t="str">
        <f t="shared" si="8"/>
        <v xml:space="preserve">Truro, Royal Cornwall Hospital </v>
      </c>
      <c r="C123" s="287" t="s">
        <v>204</v>
      </c>
      <c r="D123" s="287">
        <v>2022</v>
      </c>
      <c r="E123" s="134" t="s">
        <v>62</v>
      </c>
      <c r="F123" s="39" t="s">
        <v>11</v>
      </c>
      <c r="G123" s="287">
        <v>0</v>
      </c>
      <c r="H123" s="287">
        <v>0</v>
      </c>
      <c r="I123" s="287">
        <v>9</v>
      </c>
      <c r="J123" s="287">
        <v>11</v>
      </c>
      <c r="K123" s="287">
        <v>23</v>
      </c>
      <c r="L123" s="197">
        <v>3</v>
      </c>
      <c r="M123" s="231">
        <v>46</v>
      </c>
      <c r="N123" s="231">
        <v>37</v>
      </c>
      <c r="O123" s="231">
        <v>48</v>
      </c>
      <c r="P123" s="287">
        <v>40</v>
      </c>
      <c r="Q123" s="287">
        <v>90</v>
      </c>
      <c r="R123" s="197">
        <v>5</v>
      </c>
      <c r="S123" s="231">
        <v>183</v>
      </c>
      <c r="T123" s="231">
        <v>135</v>
      </c>
      <c r="U123" s="193">
        <v>0</v>
      </c>
      <c r="V123" s="193">
        <v>0</v>
      </c>
    </row>
    <row r="124" spans="1:22" s="48" customFormat="1" x14ac:dyDescent="0.3">
      <c r="B124" s="99"/>
      <c r="D124" s="99"/>
      <c r="E124" s="242" t="str">
        <f t="shared" ref="E124:V124" ca="1" si="9">OFFSET(E107,AdultChoice-1,0)</f>
        <v>Aneurin Bevan UHB, Nevill Hall &amp; Royal Gwent Hospitals</v>
      </c>
      <c r="F124" s="243" t="str">
        <f t="shared" ca="1" si="9"/>
        <v>Adults</v>
      </c>
      <c r="G124" s="51">
        <f t="shared" ca="1" si="9"/>
        <v>0</v>
      </c>
      <c r="H124" s="51">
        <f t="shared" ca="1" si="9"/>
        <v>0</v>
      </c>
      <c r="I124" s="51">
        <f t="shared" ca="1" si="9"/>
        <v>9</v>
      </c>
      <c r="J124" s="51">
        <f t="shared" ca="1" si="9"/>
        <v>9</v>
      </c>
      <c r="K124" s="51">
        <f t="shared" ca="1" si="9"/>
        <v>6</v>
      </c>
      <c r="L124" s="51">
        <f t="shared" ca="1" si="9"/>
        <v>0</v>
      </c>
      <c r="M124" s="51">
        <f t="shared" ca="1" si="9"/>
        <v>24</v>
      </c>
      <c r="N124" s="51">
        <f t="shared" ca="1" si="9"/>
        <v>15</v>
      </c>
      <c r="O124" s="51">
        <f t="shared" ca="1" si="9"/>
        <v>134</v>
      </c>
      <c r="P124" s="51">
        <f t="shared" ca="1" si="9"/>
        <v>17</v>
      </c>
      <c r="Q124" s="51">
        <f t="shared" ca="1" si="9"/>
        <v>46</v>
      </c>
      <c r="R124" s="51">
        <f t="shared" ca="1" si="9"/>
        <v>131</v>
      </c>
      <c r="S124" s="51">
        <f t="shared" ca="1" si="9"/>
        <v>328</v>
      </c>
      <c r="T124" s="51">
        <f t="shared" ca="1" si="9"/>
        <v>194</v>
      </c>
      <c r="U124" s="113">
        <f t="shared" ca="1" si="9"/>
        <v>0</v>
      </c>
      <c r="V124" s="113">
        <f t="shared" ca="1" si="9"/>
        <v>0</v>
      </c>
    </row>
    <row r="125" spans="1:22" s="50" customFormat="1" x14ac:dyDescent="0.3">
      <c r="B125" s="98"/>
      <c r="D125" s="98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</row>
    <row r="126" spans="1:22" s="37" customFormat="1" ht="21" x14ac:dyDescent="0.3">
      <c r="A126" s="55" t="s">
        <v>64</v>
      </c>
      <c r="B126" s="55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</row>
    <row r="127" spans="1:22" s="50" customFormat="1" x14ac:dyDescent="0.3">
      <c r="A127" s="2"/>
      <c r="B127" s="2">
        <v>2</v>
      </c>
      <c r="C127" s="2">
        <v>3</v>
      </c>
      <c r="D127" s="2">
        <v>4</v>
      </c>
      <c r="E127" s="2">
        <v>5</v>
      </c>
      <c r="F127" s="2">
        <v>6</v>
      </c>
      <c r="G127" s="2">
        <v>7</v>
      </c>
      <c r="H127" s="2">
        <v>8</v>
      </c>
      <c r="I127" s="2">
        <v>9</v>
      </c>
      <c r="J127" s="2">
        <v>10</v>
      </c>
      <c r="K127" s="2">
        <v>11</v>
      </c>
      <c r="L127" s="2">
        <v>12</v>
      </c>
      <c r="M127" s="2">
        <v>13</v>
      </c>
      <c r="N127" s="2">
        <v>14</v>
      </c>
      <c r="O127" s="2">
        <v>15</v>
      </c>
      <c r="P127" s="2">
        <v>16</v>
      </c>
      <c r="Q127" s="2">
        <v>17</v>
      </c>
      <c r="R127" s="2">
        <v>18</v>
      </c>
      <c r="S127" s="2">
        <v>19</v>
      </c>
      <c r="T127" s="2">
        <v>20</v>
      </c>
      <c r="U127" s="2">
        <v>21</v>
      </c>
      <c r="V127" s="2">
        <v>22</v>
      </c>
    </row>
    <row r="128" spans="1:22" s="48" customFormat="1" x14ac:dyDescent="0.3">
      <c r="A128" s="99"/>
      <c r="B128" s="99"/>
      <c r="C128" s="430" t="s">
        <v>110</v>
      </c>
      <c r="D128" s="430" t="s">
        <v>111</v>
      </c>
      <c r="E128" s="430" t="s">
        <v>0</v>
      </c>
      <c r="F128" s="430" t="s">
        <v>112</v>
      </c>
      <c r="G128" s="430" t="s">
        <v>42</v>
      </c>
      <c r="H128" s="430"/>
      <c r="I128" s="430" t="s">
        <v>43</v>
      </c>
      <c r="J128" s="430"/>
      <c r="K128" s="430"/>
      <c r="L128" s="430"/>
      <c r="M128" s="430"/>
      <c r="N128" s="430"/>
      <c r="O128" s="430"/>
      <c r="P128" s="430"/>
      <c r="Q128" s="430"/>
      <c r="R128" s="430"/>
      <c r="S128" s="430"/>
      <c r="T128" s="430"/>
      <c r="U128" s="430" t="s">
        <v>41</v>
      </c>
      <c r="V128" s="430"/>
    </row>
    <row r="129" spans="1:22" s="48" customFormat="1" x14ac:dyDescent="0.3">
      <c r="A129" s="99"/>
      <c r="B129" s="99"/>
      <c r="C129" s="430"/>
      <c r="D129" s="430"/>
      <c r="E129" s="430"/>
      <c r="F129" s="430"/>
      <c r="G129" s="430" t="s">
        <v>1</v>
      </c>
      <c r="H129" s="430" t="s">
        <v>2</v>
      </c>
      <c r="I129" s="430" t="s">
        <v>1</v>
      </c>
      <c r="J129" s="430"/>
      <c r="K129" s="430"/>
      <c r="L129" s="430"/>
      <c r="M129" s="430"/>
      <c r="N129" s="430"/>
      <c r="O129" s="430" t="s">
        <v>40</v>
      </c>
      <c r="P129" s="430"/>
      <c r="Q129" s="430"/>
      <c r="R129" s="430"/>
      <c r="S129" s="430"/>
      <c r="T129" s="430"/>
      <c r="U129" s="430" t="s">
        <v>1</v>
      </c>
      <c r="V129" s="430" t="s">
        <v>40</v>
      </c>
    </row>
    <row r="130" spans="1:22" s="48" customFormat="1" ht="28.8" x14ac:dyDescent="0.3">
      <c r="A130" s="99"/>
      <c r="B130" s="99"/>
      <c r="C130" s="430"/>
      <c r="D130" s="430"/>
      <c r="E130" s="430"/>
      <c r="F130" s="430"/>
      <c r="G130" s="430"/>
      <c r="H130" s="430"/>
      <c r="I130" s="99" t="s">
        <v>113</v>
      </c>
      <c r="J130" s="99" t="s">
        <v>37</v>
      </c>
      <c r="K130" s="99" t="s">
        <v>38</v>
      </c>
      <c r="L130" s="38" t="s">
        <v>39</v>
      </c>
      <c r="M130" s="99" t="s">
        <v>114</v>
      </c>
      <c r="N130" s="99" t="s">
        <v>115</v>
      </c>
      <c r="O130" s="99" t="s">
        <v>113</v>
      </c>
      <c r="P130" s="99" t="s">
        <v>37</v>
      </c>
      <c r="Q130" s="99" t="s">
        <v>38</v>
      </c>
      <c r="R130" s="38" t="s">
        <v>39</v>
      </c>
      <c r="S130" s="99" t="s">
        <v>114</v>
      </c>
      <c r="T130" s="99" t="s">
        <v>116</v>
      </c>
      <c r="U130" s="430"/>
      <c r="V130" s="430"/>
    </row>
    <row r="131" spans="1:22" s="48" customFormat="1" x14ac:dyDescent="0.3">
      <c r="A131" s="99">
        <v>1</v>
      </c>
      <c r="B131" s="150" t="str">
        <f t="shared" ref="B131:B148" si="10">VLOOKUP(A131,PaedSites,2)</f>
        <v>Aneurin Bevan UHB, Nevill Hall &amp; Royal Gwent Hospitals</v>
      </c>
      <c r="C131" s="283" t="s">
        <v>204</v>
      </c>
      <c r="D131" s="283">
        <v>2022</v>
      </c>
      <c r="E131" s="52" t="s">
        <v>157</v>
      </c>
      <c r="F131" s="39" t="s">
        <v>12</v>
      </c>
      <c r="G131" s="283">
        <v>28</v>
      </c>
      <c r="H131" s="283">
        <v>13</v>
      </c>
      <c r="I131" s="283">
        <v>41</v>
      </c>
      <c r="J131" s="283">
        <v>20</v>
      </c>
      <c r="K131" s="283">
        <v>40</v>
      </c>
      <c r="L131" s="197">
        <v>42</v>
      </c>
      <c r="M131" s="231">
        <v>143</v>
      </c>
      <c r="N131" s="231">
        <v>102</v>
      </c>
      <c r="O131" s="231">
        <v>64</v>
      </c>
      <c r="P131" s="283">
        <v>39</v>
      </c>
      <c r="Q131" s="283">
        <v>89</v>
      </c>
      <c r="R131" s="197">
        <v>98</v>
      </c>
      <c r="S131" s="231">
        <v>290</v>
      </c>
      <c r="T131" s="231">
        <v>226</v>
      </c>
      <c r="U131" s="193">
        <v>7.0000000000000007E-2</v>
      </c>
      <c r="V131" s="193">
        <v>0.04</v>
      </c>
    </row>
    <row r="132" spans="1:22" s="48" customFormat="1" x14ac:dyDescent="0.3">
      <c r="A132" s="99">
        <v>2</v>
      </c>
      <c r="B132" s="150" t="str">
        <f t="shared" si="10"/>
        <v>Cardiff &amp; Vale UHB, Noah’s Ark</v>
      </c>
      <c r="C132" s="283" t="s">
        <v>204</v>
      </c>
      <c r="D132" s="283">
        <v>2022</v>
      </c>
      <c r="E132" s="52" t="s">
        <v>158</v>
      </c>
      <c r="F132" s="39" t="s">
        <v>12</v>
      </c>
      <c r="G132" s="283">
        <v>36</v>
      </c>
      <c r="H132" s="283">
        <v>0</v>
      </c>
      <c r="I132" s="283">
        <v>154</v>
      </c>
      <c r="J132" s="283">
        <v>117</v>
      </c>
      <c r="K132" s="283">
        <v>217</v>
      </c>
      <c r="L132" s="197">
        <v>229</v>
      </c>
      <c r="M132" s="231">
        <v>717</v>
      </c>
      <c r="N132" s="231">
        <v>563</v>
      </c>
      <c r="O132" s="231">
        <v>0</v>
      </c>
      <c r="P132" s="283">
        <v>0</v>
      </c>
      <c r="Q132" s="283">
        <v>0</v>
      </c>
      <c r="R132" s="197">
        <v>0</v>
      </c>
      <c r="S132" s="231">
        <v>0</v>
      </c>
      <c r="T132" s="231">
        <v>0</v>
      </c>
      <c r="U132" s="193">
        <v>0.08</v>
      </c>
      <c r="V132" s="193">
        <v>0</v>
      </c>
    </row>
    <row r="133" spans="1:22" s="48" customFormat="1" ht="28.8" x14ac:dyDescent="0.3">
      <c r="A133" s="99">
        <v>3</v>
      </c>
      <c r="B133" s="150" t="str">
        <f t="shared" si="10"/>
        <v>Cwm Taf Morgannwg UHB, Princess of Wales Hospital</v>
      </c>
      <c r="C133" s="283" t="s">
        <v>204</v>
      </c>
      <c r="D133" s="283">
        <v>2022</v>
      </c>
      <c r="E133" s="134" t="s">
        <v>159</v>
      </c>
      <c r="F133" s="39" t="s">
        <v>12</v>
      </c>
      <c r="G133" s="283">
        <v>6</v>
      </c>
      <c r="H133" s="283">
        <v>8</v>
      </c>
      <c r="I133" s="283">
        <v>20</v>
      </c>
      <c r="J133" s="283">
        <v>0</v>
      </c>
      <c r="K133" s="283">
        <v>0</v>
      </c>
      <c r="L133" s="197">
        <v>0</v>
      </c>
      <c r="M133" s="231">
        <v>20</v>
      </c>
      <c r="N133" s="231">
        <v>0</v>
      </c>
      <c r="O133" s="231">
        <v>0</v>
      </c>
      <c r="P133" s="283">
        <v>76</v>
      </c>
      <c r="Q133" s="283">
        <v>121</v>
      </c>
      <c r="R133" s="197">
        <v>83</v>
      </c>
      <c r="S133" s="231">
        <v>280</v>
      </c>
      <c r="T133" s="231">
        <v>280</v>
      </c>
      <c r="U133" s="193">
        <v>0.18</v>
      </c>
      <c r="V133" s="193">
        <v>0.05</v>
      </c>
    </row>
    <row r="134" spans="1:22" s="48" customFormat="1" ht="28.8" x14ac:dyDescent="0.3">
      <c r="A134" s="99">
        <v>4</v>
      </c>
      <c r="B134" s="150" t="str">
        <f t="shared" si="10"/>
        <v xml:space="preserve">Cwm Taf Morgannwg UHB, Royal Glamorgan Hospital </v>
      </c>
      <c r="C134" s="283" t="s">
        <v>204</v>
      </c>
      <c r="D134" s="283">
        <v>2022</v>
      </c>
      <c r="E134" s="134" t="s">
        <v>160</v>
      </c>
      <c r="F134" s="39" t="s">
        <v>12</v>
      </c>
      <c r="G134" s="283">
        <v>15.45</v>
      </c>
      <c r="H134" s="283">
        <v>4.75</v>
      </c>
      <c r="I134" s="283">
        <v>2</v>
      </c>
      <c r="J134" s="283">
        <v>1</v>
      </c>
      <c r="K134" s="283">
        <v>0</v>
      </c>
      <c r="L134" s="197">
        <v>0</v>
      </c>
      <c r="M134" s="231">
        <v>3</v>
      </c>
      <c r="N134" s="231">
        <v>1</v>
      </c>
      <c r="O134" s="231">
        <v>1</v>
      </c>
      <c r="P134" s="283">
        <v>3</v>
      </c>
      <c r="Q134" s="283">
        <v>1</v>
      </c>
      <c r="R134" s="197">
        <v>4</v>
      </c>
      <c r="S134" s="231">
        <v>9</v>
      </c>
      <c r="T134" s="231">
        <v>8</v>
      </c>
      <c r="U134" s="193">
        <v>0.19</v>
      </c>
      <c r="V134" s="193">
        <v>0.42</v>
      </c>
    </row>
    <row r="135" spans="1:22" s="48" customFormat="1" ht="28.8" x14ac:dyDescent="0.3">
      <c r="A135" s="99">
        <v>5</v>
      </c>
      <c r="B135" s="150" t="str">
        <f t="shared" si="10"/>
        <v>Cwm Taf Morgannwg UHB, Prince Charles Hospital</v>
      </c>
      <c r="C135" s="283" t="s">
        <v>204</v>
      </c>
      <c r="D135" s="283">
        <v>2022</v>
      </c>
      <c r="E135" s="134" t="s">
        <v>161</v>
      </c>
      <c r="F135" s="39" t="s">
        <v>12</v>
      </c>
      <c r="G135" s="283">
        <v>12</v>
      </c>
      <c r="H135" s="283">
        <v>17</v>
      </c>
      <c r="I135" s="283">
        <v>1</v>
      </c>
      <c r="J135" s="283">
        <v>2</v>
      </c>
      <c r="K135" s="283">
        <v>5</v>
      </c>
      <c r="L135" s="197">
        <v>0</v>
      </c>
      <c r="M135" s="231">
        <v>8</v>
      </c>
      <c r="N135" s="231">
        <v>7</v>
      </c>
      <c r="O135" s="231">
        <v>2</v>
      </c>
      <c r="P135" s="283">
        <v>0</v>
      </c>
      <c r="Q135" s="283">
        <v>0</v>
      </c>
      <c r="R135" s="197">
        <v>2</v>
      </c>
      <c r="S135" s="231">
        <v>4</v>
      </c>
      <c r="T135" s="231">
        <v>2</v>
      </c>
      <c r="U135" s="193">
        <v>0.19</v>
      </c>
      <c r="V135" s="193">
        <v>0.39</v>
      </c>
    </row>
    <row r="136" spans="1:22" s="48" customFormat="1" x14ac:dyDescent="0.3">
      <c r="A136" s="99">
        <v>6</v>
      </c>
      <c r="B136" s="150" t="str">
        <f t="shared" si="10"/>
        <v>Hywel Dda UHB, Glangwilli Hospital</v>
      </c>
      <c r="C136" s="99"/>
      <c r="D136" s="99"/>
      <c r="E136" s="134"/>
      <c r="F136" s="39"/>
      <c r="G136" s="224" t="s">
        <v>155</v>
      </c>
      <c r="H136" s="224" t="s">
        <v>155</v>
      </c>
      <c r="I136" s="224" t="s">
        <v>155</v>
      </c>
      <c r="J136" s="224" t="s">
        <v>155</v>
      </c>
      <c r="K136" s="224" t="s">
        <v>155</v>
      </c>
      <c r="L136" s="197" t="s">
        <v>155</v>
      </c>
      <c r="M136" s="225" t="s">
        <v>155</v>
      </c>
      <c r="N136" s="225" t="s">
        <v>155</v>
      </c>
      <c r="O136" s="225" t="s">
        <v>155</v>
      </c>
      <c r="P136" s="224" t="s">
        <v>155</v>
      </c>
      <c r="Q136" s="224" t="s">
        <v>155</v>
      </c>
      <c r="R136" s="197" t="s">
        <v>155</v>
      </c>
      <c r="S136" s="225" t="s">
        <v>155</v>
      </c>
      <c r="T136" s="225" t="s">
        <v>155</v>
      </c>
      <c r="U136" s="193" t="s">
        <v>155</v>
      </c>
      <c r="V136" s="193" t="s">
        <v>155</v>
      </c>
    </row>
    <row r="137" spans="1:22" s="48" customFormat="1" ht="28.8" x14ac:dyDescent="0.3">
      <c r="A137" s="99">
        <v>7</v>
      </c>
      <c r="B137" s="150" t="str">
        <f t="shared" si="10"/>
        <v>Hywel Dda UHB, Withybush Hospital</v>
      </c>
      <c r="C137" s="283" t="s">
        <v>204</v>
      </c>
      <c r="D137" s="283">
        <v>2022</v>
      </c>
      <c r="E137" s="134" t="s">
        <v>166</v>
      </c>
      <c r="F137" s="39" t="s">
        <v>12</v>
      </c>
      <c r="G137" s="283">
        <v>18</v>
      </c>
      <c r="H137" s="283">
        <v>32</v>
      </c>
      <c r="I137" s="283">
        <v>2</v>
      </c>
      <c r="J137" s="283">
        <v>1</v>
      </c>
      <c r="K137" s="283">
        <v>0</v>
      </c>
      <c r="L137" s="197">
        <v>0</v>
      </c>
      <c r="M137" s="231">
        <v>3</v>
      </c>
      <c r="N137" s="231">
        <v>1</v>
      </c>
      <c r="O137" s="231">
        <v>14</v>
      </c>
      <c r="P137" s="283">
        <v>12</v>
      </c>
      <c r="Q137" s="283">
        <v>4</v>
      </c>
      <c r="R137" s="197">
        <v>0</v>
      </c>
      <c r="S137" s="231">
        <v>30</v>
      </c>
      <c r="T137" s="231">
        <v>16</v>
      </c>
      <c r="U137" s="193">
        <v>0</v>
      </c>
      <c r="V137" s="193">
        <v>0</v>
      </c>
    </row>
    <row r="138" spans="1:22" ht="28.8" x14ac:dyDescent="0.3">
      <c r="A138" s="99">
        <v>8</v>
      </c>
      <c r="B138" s="150" t="str">
        <f t="shared" si="10"/>
        <v>Swansea Bay UHB, Morriston / Singleton Hospitals</v>
      </c>
      <c r="C138" s="283" t="s">
        <v>204</v>
      </c>
      <c r="D138" s="283">
        <v>2022</v>
      </c>
      <c r="E138" s="134" t="s">
        <v>162</v>
      </c>
      <c r="F138" s="39" t="s">
        <v>12</v>
      </c>
      <c r="G138" s="283">
        <v>11.13</v>
      </c>
      <c r="H138" s="283">
        <v>5.2</v>
      </c>
      <c r="I138" s="283">
        <v>23</v>
      </c>
      <c r="J138" s="283">
        <v>12</v>
      </c>
      <c r="K138" s="283">
        <v>0</v>
      </c>
      <c r="L138" s="197">
        <v>0</v>
      </c>
      <c r="M138" s="231">
        <v>35</v>
      </c>
      <c r="N138" s="231">
        <v>12</v>
      </c>
      <c r="O138" s="231">
        <v>18</v>
      </c>
      <c r="P138" s="283">
        <v>28</v>
      </c>
      <c r="Q138" s="283">
        <v>19</v>
      </c>
      <c r="R138" s="197">
        <v>0</v>
      </c>
      <c r="S138" s="231">
        <v>65</v>
      </c>
      <c r="T138" s="231">
        <v>47</v>
      </c>
      <c r="U138" s="193">
        <v>0.04</v>
      </c>
      <c r="V138" s="193">
        <v>0</v>
      </c>
    </row>
    <row r="139" spans="1:22" x14ac:dyDescent="0.3">
      <c r="A139" s="99">
        <v>9</v>
      </c>
      <c r="B139" s="150" t="str">
        <f t="shared" si="10"/>
        <v xml:space="preserve">Barnstaple, North Devon District Hospital </v>
      </c>
      <c r="C139" s="99"/>
      <c r="D139" s="99"/>
      <c r="E139" s="134"/>
      <c r="F139" s="39"/>
      <c r="G139" s="224" t="s">
        <v>155</v>
      </c>
      <c r="H139" s="224" t="s">
        <v>155</v>
      </c>
      <c r="I139" s="224" t="s">
        <v>155</v>
      </c>
      <c r="J139" s="224" t="s">
        <v>155</v>
      </c>
      <c r="K139" s="224" t="s">
        <v>155</v>
      </c>
      <c r="L139" s="197" t="s">
        <v>155</v>
      </c>
      <c r="M139" s="225" t="s">
        <v>155</v>
      </c>
      <c r="N139" s="225" t="s">
        <v>155</v>
      </c>
      <c r="O139" s="225" t="s">
        <v>155</v>
      </c>
      <c r="P139" s="224" t="s">
        <v>155</v>
      </c>
      <c r="Q139" s="224" t="s">
        <v>155</v>
      </c>
      <c r="R139" s="197" t="s">
        <v>155</v>
      </c>
      <c r="S139" s="225" t="s">
        <v>155</v>
      </c>
      <c r="T139" s="225" t="s">
        <v>155</v>
      </c>
      <c r="U139" s="193" t="s">
        <v>155</v>
      </c>
      <c r="V139" s="193" t="s">
        <v>155</v>
      </c>
    </row>
    <row r="140" spans="1:22" x14ac:dyDescent="0.3">
      <c r="A140" s="99">
        <v>10</v>
      </c>
      <c r="B140" s="150" t="str">
        <f t="shared" si="10"/>
        <v xml:space="preserve">Bath, Royal United Hospital </v>
      </c>
      <c r="C140" s="283" t="s">
        <v>204</v>
      </c>
      <c r="D140" s="283">
        <v>2022</v>
      </c>
      <c r="E140" s="134" t="s">
        <v>59</v>
      </c>
      <c r="F140" s="39" t="s">
        <v>12</v>
      </c>
      <c r="G140" s="283">
        <v>40</v>
      </c>
      <c r="H140" s="283">
        <v>6</v>
      </c>
      <c r="I140" s="283">
        <v>1</v>
      </c>
      <c r="J140" s="283">
        <v>0</v>
      </c>
      <c r="K140" s="283">
        <v>1</v>
      </c>
      <c r="L140" s="197">
        <v>0</v>
      </c>
      <c r="M140" s="231">
        <v>2</v>
      </c>
      <c r="N140" s="231">
        <v>1</v>
      </c>
      <c r="O140" s="231">
        <v>2</v>
      </c>
      <c r="P140" s="283">
        <v>0</v>
      </c>
      <c r="Q140" s="283">
        <v>0</v>
      </c>
      <c r="R140" s="197">
        <v>0</v>
      </c>
      <c r="S140" s="231">
        <v>2</v>
      </c>
      <c r="T140" s="231">
        <v>0</v>
      </c>
      <c r="U140" s="193">
        <v>0.08</v>
      </c>
      <c r="V140" s="193">
        <v>0.08</v>
      </c>
    </row>
    <row r="141" spans="1:22" ht="28.8" x14ac:dyDescent="0.3">
      <c r="A141" s="99">
        <v>11</v>
      </c>
      <c r="B141" s="150" t="str">
        <f t="shared" si="10"/>
        <v>Bristol Royal Hospital for Children</v>
      </c>
      <c r="C141" s="283" t="s">
        <v>204</v>
      </c>
      <c r="D141" s="283">
        <v>2022</v>
      </c>
      <c r="E141" s="134" t="s">
        <v>198</v>
      </c>
      <c r="F141" s="39" t="s">
        <v>12</v>
      </c>
      <c r="G141" s="283">
        <v>62</v>
      </c>
      <c r="H141" s="283">
        <v>0</v>
      </c>
      <c r="I141" s="283">
        <v>242</v>
      </c>
      <c r="J141" s="283">
        <v>331</v>
      </c>
      <c r="K141" s="283">
        <v>281</v>
      </c>
      <c r="L141" s="197">
        <v>240</v>
      </c>
      <c r="M141" s="231">
        <v>1094</v>
      </c>
      <c r="N141" s="231">
        <v>852</v>
      </c>
      <c r="O141" s="231">
        <v>0</v>
      </c>
      <c r="P141" s="283">
        <v>0</v>
      </c>
      <c r="Q141" s="283">
        <v>0</v>
      </c>
      <c r="R141" s="197">
        <v>0</v>
      </c>
      <c r="S141" s="231">
        <v>0</v>
      </c>
      <c r="T141" s="231">
        <v>0</v>
      </c>
      <c r="U141" s="193">
        <v>7.0000000000000007E-2</v>
      </c>
      <c r="V141" s="193">
        <v>0</v>
      </c>
    </row>
    <row r="142" spans="1:22" ht="28.8" x14ac:dyDescent="0.3">
      <c r="A142" s="99">
        <v>12</v>
      </c>
      <c r="B142" s="150" t="str">
        <f t="shared" si="10"/>
        <v xml:space="preserve">Exeter, Royal Devon and Exeter Hospital </v>
      </c>
      <c r="C142" s="283" t="s">
        <v>204</v>
      </c>
      <c r="D142" s="283">
        <v>2022</v>
      </c>
      <c r="E142" s="134" t="s">
        <v>60</v>
      </c>
      <c r="F142" s="39" t="s">
        <v>12</v>
      </c>
      <c r="G142" s="283">
        <v>15</v>
      </c>
      <c r="H142" s="283">
        <v>4</v>
      </c>
      <c r="I142" s="283">
        <v>42</v>
      </c>
      <c r="J142" s="283">
        <v>55</v>
      </c>
      <c r="K142" s="283">
        <v>40</v>
      </c>
      <c r="L142" s="197">
        <v>0</v>
      </c>
      <c r="M142" s="231">
        <v>137</v>
      </c>
      <c r="N142" s="231">
        <v>95</v>
      </c>
      <c r="O142" s="231">
        <v>25</v>
      </c>
      <c r="P142" s="283">
        <v>34</v>
      </c>
      <c r="Q142" s="283">
        <v>53</v>
      </c>
      <c r="R142" s="197">
        <v>10</v>
      </c>
      <c r="S142" s="231">
        <v>122</v>
      </c>
      <c r="T142" s="231">
        <v>97</v>
      </c>
      <c r="U142" s="193">
        <v>0.05</v>
      </c>
      <c r="V142" s="193">
        <v>0</v>
      </c>
    </row>
    <row r="143" spans="1:22" ht="28.8" x14ac:dyDescent="0.3">
      <c r="A143" s="99">
        <v>13</v>
      </c>
      <c r="B143" s="150" t="str">
        <f t="shared" si="10"/>
        <v>Gloucester, Gloucestershire Hospitals</v>
      </c>
      <c r="C143" s="283" t="s">
        <v>204</v>
      </c>
      <c r="D143" s="283">
        <v>2022</v>
      </c>
      <c r="E143" s="134" t="s">
        <v>56</v>
      </c>
      <c r="F143" s="39" t="s">
        <v>12</v>
      </c>
      <c r="G143" s="283">
        <v>0</v>
      </c>
      <c r="H143" s="283">
        <v>0</v>
      </c>
      <c r="I143" s="283">
        <v>59</v>
      </c>
      <c r="J143" s="283">
        <v>32</v>
      </c>
      <c r="K143" s="283">
        <v>49</v>
      </c>
      <c r="L143" s="197">
        <v>57</v>
      </c>
      <c r="M143" s="231">
        <v>197</v>
      </c>
      <c r="N143" s="231">
        <v>138</v>
      </c>
      <c r="O143" s="231">
        <v>24</v>
      </c>
      <c r="P143" s="283">
        <v>6</v>
      </c>
      <c r="Q143" s="283">
        <v>4</v>
      </c>
      <c r="R143" s="197">
        <v>5</v>
      </c>
      <c r="S143" s="231">
        <v>39</v>
      </c>
      <c r="T143" s="231">
        <v>15</v>
      </c>
      <c r="U143" s="193">
        <v>0.16</v>
      </c>
      <c r="V143" s="193">
        <v>0.05</v>
      </c>
    </row>
    <row r="144" spans="1:22" x14ac:dyDescent="0.3">
      <c r="A144" s="99">
        <v>14</v>
      </c>
      <c r="B144" s="150" t="str">
        <f t="shared" si="10"/>
        <v xml:space="preserve">Plymouth, Derriford Hospital </v>
      </c>
      <c r="C144" s="283" t="s">
        <v>204</v>
      </c>
      <c r="D144" s="283">
        <v>2022</v>
      </c>
      <c r="E144" s="134" t="s">
        <v>61</v>
      </c>
      <c r="F144" s="39" t="s">
        <v>12</v>
      </c>
      <c r="G144" s="283">
        <v>24</v>
      </c>
      <c r="H144" s="283">
        <v>24</v>
      </c>
      <c r="I144" s="283">
        <v>116</v>
      </c>
      <c r="J144" s="283">
        <v>98</v>
      </c>
      <c r="K144" s="283">
        <v>39</v>
      </c>
      <c r="L144" s="197">
        <v>1</v>
      </c>
      <c r="M144" s="231">
        <v>254</v>
      </c>
      <c r="N144" s="231">
        <v>138</v>
      </c>
      <c r="O144" s="231">
        <v>24</v>
      </c>
      <c r="P144" s="283">
        <v>26</v>
      </c>
      <c r="Q144" s="283">
        <v>14</v>
      </c>
      <c r="R144" s="197">
        <v>2</v>
      </c>
      <c r="S144" s="231">
        <v>66</v>
      </c>
      <c r="T144" s="231">
        <v>42</v>
      </c>
      <c r="U144" s="193">
        <v>0</v>
      </c>
      <c r="V144" s="193">
        <v>0</v>
      </c>
    </row>
    <row r="145" spans="1:22" x14ac:dyDescent="0.3">
      <c r="A145" s="99">
        <v>15</v>
      </c>
      <c r="B145" s="150" t="str">
        <f t="shared" si="10"/>
        <v xml:space="preserve">Swindon, Great Weston Hospital </v>
      </c>
      <c r="C145" s="283" t="s">
        <v>204</v>
      </c>
      <c r="D145" s="283">
        <v>2022</v>
      </c>
      <c r="E145" s="134" t="s">
        <v>52</v>
      </c>
      <c r="F145" s="39" t="s">
        <v>12</v>
      </c>
      <c r="G145" s="283">
        <v>0</v>
      </c>
      <c r="H145" s="283">
        <v>0</v>
      </c>
      <c r="I145" s="283">
        <v>1</v>
      </c>
      <c r="J145" s="283">
        <v>0</v>
      </c>
      <c r="K145" s="283">
        <v>0</v>
      </c>
      <c r="L145" s="197">
        <v>0</v>
      </c>
      <c r="M145" s="231">
        <v>1</v>
      </c>
      <c r="N145" s="231">
        <v>0</v>
      </c>
      <c r="O145" s="231">
        <v>37</v>
      </c>
      <c r="P145" s="283">
        <v>3</v>
      </c>
      <c r="Q145" s="283">
        <v>0</v>
      </c>
      <c r="R145" s="197">
        <v>0</v>
      </c>
      <c r="S145" s="231">
        <v>40</v>
      </c>
      <c r="T145" s="231">
        <v>3</v>
      </c>
      <c r="U145" s="193">
        <v>0.14000000000000001</v>
      </c>
      <c r="V145" s="193">
        <v>0.18</v>
      </c>
    </row>
    <row r="146" spans="1:22" x14ac:dyDescent="0.3">
      <c r="A146" s="99">
        <v>16</v>
      </c>
      <c r="B146" s="150" t="str">
        <f t="shared" si="10"/>
        <v xml:space="preserve">Taunton, Musgrove Park Hospital </v>
      </c>
      <c r="C146" s="283" t="s">
        <v>204</v>
      </c>
      <c r="D146" s="283">
        <v>2022</v>
      </c>
      <c r="E146" s="134" t="s">
        <v>57</v>
      </c>
      <c r="F146" s="39" t="s">
        <v>12</v>
      </c>
      <c r="G146" s="283">
        <v>44</v>
      </c>
      <c r="H146" s="283">
        <v>44</v>
      </c>
      <c r="I146" s="283">
        <v>6</v>
      </c>
      <c r="J146" s="283">
        <v>13</v>
      </c>
      <c r="K146" s="283">
        <v>22</v>
      </c>
      <c r="L146" s="197">
        <v>61</v>
      </c>
      <c r="M146" s="231">
        <v>102</v>
      </c>
      <c r="N146" s="231">
        <v>96</v>
      </c>
      <c r="O146" s="231">
        <v>0</v>
      </c>
      <c r="P146" s="283">
        <v>4</v>
      </c>
      <c r="Q146" s="283">
        <v>8</v>
      </c>
      <c r="R146" s="197">
        <v>21</v>
      </c>
      <c r="S146" s="231">
        <v>33</v>
      </c>
      <c r="T146" s="231">
        <v>33</v>
      </c>
      <c r="U146" s="193">
        <v>0.11</v>
      </c>
      <c r="V146" s="193">
        <v>0</v>
      </c>
    </row>
    <row r="147" spans="1:22" ht="28.8" x14ac:dyDescent="0.3">
      <c r="A147" s="99">
        <v>17</v>
      </c>
      <c r="B147" s="150" t="str">
        <f t="shared" si="10"/>
        <v xml:space="preserve">Torquay, Torbay General District Hospital </v>
      </c>
      <c r="C147" s="283" t="s">
        <v>204</v>
      </c>
      <c r="D147" s="283">
        <v>2022</v>
      </c>
      <c r="E147" s="134" t="s">
        <v>54</v>
      </c>
      <c r="F147" s="39" t="s">
        <v>12</v>
      </c>
      <c r="G147" s="283">
        <v>4</v>
      </c>
      <c r="H147" s="283">
        <v>4</v>
      </c>
      <c r="I147" s="283">
        <v>41</v>
      </c>
      <c r="J147" s="283">
        <v>57</v>
      </c>
      <c r="K147" s="283">
        <v>60</v>
      </c>
      <c r="L147" s="197">
        <v>2</v>
      </c>
      <c r="M147" s="231">
        <v>160</v>
      </c>
      <c r="N147" s="231">
        <v>119</v>
      </c>
      <c r="O147" s="231">
        <v>18</v>
      </c>
      <c r="P147" s="283">
        <v>21</v>
      </c>
      <c r="Q147" s="283">
        <v>34</v>
      </c>
      <c r="R147" s="197">
        <v>15</v>
      </c>
      <c r="S147" s="231">
        <v>88</v>
      </c>
      <c r="T147" s="231">
        <v>70</v>
      </c>
      <c r="U147" s="193">
        <v>0</v>
      </c>
      <c r="V147" s="193">
        <v>0</v>
      </c>
    </row>
    <row r="148" spans="1:22" x14ac:dyDescent="0.3">
      <c r="A148" s="99">
        <v>18</v>
      </c>
      <c r="B148" s="153" t="str">
        <f t="shared" si="10"/>
        <v xml:space="preserve">Truro, Royal Cornwall Hospital </v>
      </c>
      <c r="C148" s="283" t="s">
        <v>204</v>
      </c>
      <c r="D148" s="283">
        <v>2022</v>
      </c>
      <c r="E148" s="52" t="s">
        <v>62</v>
      </c>
      <c r="F148" s="39" t="s">
        <v>12</v>
      </c>
      <c r="G148" s="283">
        <v>5</v>
      </c>
      <c r="H148" s="283">
        <v>13</v>
      </c>
      <c r="I148" s="283">
        <v>4</v>
      </c>
      <c r="J148" s="283">
        <v>0</v>
      </c>
      <c r="K148" s="283">
        <v>0</v>
      </c>
      <c r="L148" s="197">
        <v>0</v>
      </c>
      <c r="M148" s="231">
        <v>4</v>
      </c>
      <c r="N148" s="231">
        <v>0</v>
      </c>
      <c r="O148" s="231">
        <v>53</v>
      </c>
      <c r="P148" s="283">
        <v>1</v>
      </c>
      <c r="Q148" s="283">
        <v>0</v>
      </c>
      <c r="R148" s="197">
        <v>0</v>
      </c>
      <c r="S148" s="231">
        <v>54</v>
      </c>
      <c r="T148" s="231">
        <v>1</v>
      </c>
      <c r="U148" s="193">
        <v>7.0000000000000007E-2</v>
      </c>
      <c r="V148" s="193">
        <v>0.08</v>
      </c>
    </row>
    <row r="149" spans="1:22" x14ac:dyDescent="0.3">
      <c r="C149" s="49"/>
      <c r="D149" s="49"/>
      <c r="E149" s="6">
        <f t="shared" ref="E149:V149" ca="1" si="11">OFFSET(E131,PaedChoice-1,0)</f>
        <v>0</v>
      </c>
      <c r="F149" s="6">
        <f t="shared" ca="1" si="11"/>
        <v>0</v>
      </c>
      <c r="G149" s="5" t="str">
        <f t="shared" ca="1" si="11"/>
        <v>No data</v>
      </c>
      <c r="H149" s="5" t="str">
        <f t="shared" ca="1" si="11"/>
        <v>No data</v>
      </c>
      <c r="I149" s="5" t="str">
        <f t="shared" ca="1" si="11"/>
        <v>No data</v>
      </c>
      <c r="J149" s="5" t="str">
        <f t="shared" ca="1" si="11"/>
        <v>No data</v>
      </c>
      <c r="K149" s="5" t="str">
        <f t="shared" ca="1" si="11"/>
        <v>No data</v>
      </c>
      <c r="L149" s="5" t="str">
        <f t="shared" ca="1" si="11"/>
        <v>No data</v>
      </c>
      <c r="M149" s="5" t="str">
        <f t="shared" ca="1" si="11"/>
        <v>No data</v>
      </c>
      <c r="N149" s="5" t="str">
        <f t="shared" ca="1" si="11"/>
        <v>No data</v>
      </c>
      <c r="O149" s="5" t="str">
        <f t="shared" ca="1" si="11"/>
        <v>No data</v>
      </c>
      <c r="P149" s="5" t="str">
        <f t="shared" ca="1" si="11"/>
        <v>No data</v>
      </c>
      <c r="Q149" s="5" t="str">
        <f t="shared" ca="1" si="11"/>
        <v>No data</v>
      </c>
      <c r="R149" s="5" t="str">
        <f t="shared" ca="1" si="11"/>
        <v>No data</v>
      </c>
      <c r="S149" s="5" t="str">
        <f t="shared" ca="1" si="11"/>
        <v>No data</v>
      </c>
      <c r="T149" s="5" t="str">
        <f t="shared" ca="1" si="11"/>
        <v>No data</v>
      </c>
      <c r="U149" s="241" t="str">
        <f t="shared" ca="1" si="11"/>
        <v>No data</v>
      </c>
      <c r="V149" s="241" t="str">
        <f t="shared" ca="1" si="11"/>
        <v>No data</v>
      </c>
    </row>
    <row r="150" spans="1:22" s="37" customFormat="1" ht="21" x14ac:dyDescent="0.3">
      <c r="C150" s="231"/>
      <c r="D150" s="98"/>
      <c r="E150" s="231"/>
    </row>
    <row r="151" spans="1:22" s="7" customFormat="1" ht="21" x14ac:dyDescent="0.3">
      <c r="A151" s="7" t="s">
        <v>7</v>
      </c>
    </row>
    <row r="152" spans="1:22" s="37" customFormat="1" ht="21" x14ac:dyDescent="0.3">
      <c r="A152" s="54" t="s">
        <v>63</v>
      </c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</row>
    <row r="153" spans="1:22" x14ac:dyDescent="0.3">
      <c r="B153" s="2">
        <v>2</v>
      </c>
      <c r="C153" s="2">
        <v>3</v>
      </c>
      <c r="D153" s="2">
        <v>4</v>
      </c>
      <c r="E153" s="2">
        <v>5</v>
      </c>
      <c r="F153" s="2">
        <v>6</v>
      </c>
      <c r="G153" s="2">
        <v>7</v>
      </c>
      <c r="H153" s="2">
        <v>8</v>
      </c>
      <c r="I153" s="2">
        <v>9</v>
      </c>
      <c r="J153" s="2">
        <v>10</v>
      </c>
      <c r="K153" s="2">
        <v>11</v>
      </c>
      <c r="L153" s="2">
        <v>12</v>
      </c>
      <c r="M153" s="2">
        <v>13</v>
      </c>
      <c r="N153" s="2">
        <v>14</v>
      </c>
      <c r="O153" s="2">
        <v>15</v>
      </c>
      <c r="P153" s="2">
        <v>16</v>
      </c>
      <c r="Q153" s="2">
        <v>17</v>
      </c>
      <c r="R153" s="2">
        <v>18</v>
      </c>
      <c r="S153" s="2">
        <v>19</v>
      </c>
      <c r="T153" s="2">
        <v>20</v>
      </c>
      <c r="U153" s="2">
        <v>21</v>
      </c>
      <c r="V153" s="2">
        <v>22</v>
      </c>
    </row>
    <row r="154" spans="1:22" s="48" customFormat="1" x14ac:dyDescent="0.3">
      <c r="A154" s="99"/>
      <c r="B154" s="99"/>
      <c r="C154" s="430" t="s">
        <v>110</v>
      </c>
      <c r="D154" s="430" t="s">
        <v>111</v>
      </c>
      <c r="E154" s="430" t="s">
        <v>0</v>
      </c>
      <c r="F154" s="430" t="s">
        <v>112</v>
      </c>
      <c r="G154" s="430" t="s">
        <v>42</v>
      </c>
      <c r="H154" s="430"/>
      <c r="I154" s="430" t="s">
        <v>43</v>
      </c>
      <c r="J154" s="430"/>
      <c r="K154" s="430"/>
      <c r="L154" s="430"/>
      <c r="M154" s="430"/>
      <c r="N154" s="430"/>
      <c r="O154" s="430"/>
      <c r="P154" s="430"/>
      <c r="Q154" s="430"/>
      <c r="R154" s="430"/>
      <c r="S154" s="430"/>
      <c r="T154" s="430"/>
      <c r="U154" s="430" t="s">
        <v>41</v>
      </c>
      <c r="V154" s="430"/>
    </row>
    <row r="155" spans="1:22" s="48" customFormat="1" x14ac:dyDescent="0.3">
      <c r="A155" s="99"/>
      <c r="B155" s="99"/>
      <c r="C155" s="430"/>
      <c r="D155" s="430"/>
      <c r="E155" s="430"/>
      <c r="F155" s="430"/>
      <c r="G155" s="430" t="s">
        <v>1</v>
      </c>
      <c r="H155" s="430" t="s">
        <v>2</v>
      </c>
      <c r="I155" s="430" t="s">
        <v>1</v>
      </c>
      <c r="J155" s="430"/>
      <c r="K155" s="430"/>
      <c r="L155" s="430"/>
      <c r="M155" s="430"/>
      <c r="N155" s="430"/>
      <c r="O155" s="430" t="s">
        <v>40</v>
      </c>
      <c r="P155" s="430"/>
      <c r="Q155" s="430"/>
      <c r="R155" s="430"/>
      <c r="S155" s="430"/>
      <c r="T155" s="430"/>
      <c r="U155" s="430" t="s">
        <v>1</v>
      </c>
      <c r="V155" s="430" t="s">
        <v>40</v>
      </c>
    </row>
    <row r="156" spans="1:22" s="48" customFormat="1" ht="28.8" x14ac:dyDescent="0.3">
      <c r="A156" s="99"/>
      <c r="B156" s="99"/>
      <c r="C156" s="430"/>
      <c r="D156" s="430"/>
      <c r="E156" s="430"/>
      <c r="F156" s="430"/>
      <c r="G156" s="430"/>
      <c r="H156" s="430"/>
      <c r="I156" s="99" t="s">
        <v>113</v>
      </c>
      <c r="J156" s="99" t="s">
        <v>37</v>
      </c>
      <c r="K156" s="99" t="s">
        <v>38</v>
      </c>
      <c r="L156" s="38" t="s">
        <v>39</v>
      </c>
      <c r="M156" s="99" t="s">
        <v>152</v>
      </c>
      <c r="N156" s="99" t="s">
        <v>115</v>
      </c>
      <c r="O156" s="99" t="s">
        <v>113</v>
      </c>
      <c r="P156" s="99" t="s">
        <v>37</v>
      </c>
      <c r="Q156" s="99" t="s">
        <v>38</v>
      </c>
      <c r="R156" s="38" t="s">
        <v>39</v>
      </c>
      <c r="S156" s="99" t="s">
        <v>114</v>
      </c>
      <c r="T156" s="99" t="s">
        <v>116</v>
      </c>
      <c r="U156" s="430"/>
      <c r="V156" s="430"/>
    </row>
    <row r="157" spans="1:22" s="48" customFormat="1" x14ac:dyDescent="0.3">
      <c r="A157" s="99">
        <v>1</v>
      </c>
      <c r="B157" s="150" t="str">
        <f t="shared" ref="B157:B173" si="12">VLOOKUP(A157,AdultSites,2)</f>
        <v>Aneurin Bevan UHB, Nevill Hall &amp; Royal Gwent Hospitals</v>
      </c>
      <c r="C157" s="99"/>
      <c r="D157" s="99"/>
      <c r="E157" s="52"/>
      <c r="F157" s="39"/>
      <c r="G157" s="224" t="s">
        <v>155</v>
      </c>
      <c r="H157" s="224" t="s">
        <v>155</v>
      </c>
      <c r="I157" s="224" t="s">
        <v>155</v>
      </c>
      <c r="J157" s="224" t="s">
        <v>155</v>
      </c>
      <c r="K157" s="224" t="s">
        <v>155</v>
      </c>
      <c r="L157" s="197" t="s">
        <v>155</v>
      </c>
      <c r="M157" s="225" t="s">
        <v>155</v>
      </c>
      <c r="N157" s="225" t="s">
        <v>155</v>
      </c>
      <c r="O157" s="225" t="s">
        <v>155</v>
      </c>
      <c r="P157" s="224" t="s">
        <v>155</v>
      </c>
      <c r="Q157" s="224" t="s">
        <v>155</v>
      </c>
      <c r="R157" s="197" t="s">
        <v>155</v>
      </c>
      <c r="S157" s="225" t="s">
        <v>155</v>
      </c>
      <c r="T157" s="225" t="s">
        <v>155</v>
      </c>
      <c r="U157" s="193" t="s">
        <v>155</v>
      </c>
      <c r="V157" s="193" t="s">
        <v>155</v>
      </c>
    </row>
    <row r="158" spans="1:22" s="48" customFormat="1" x14ac:dyDescent="0.3">
      <c r="A158" s="99">
        <v>2</v>
      </c>
      <c r="B158" s="150" t="str">
        <f t="shared" si="12"/>
        <v>University Hospital Wales</v>
      </c>
      <c r="C158" s="99"/>
      <c r="D158" s="99"/>
      <c r="E158" s="52"/>
      <c r="F158" s="39"/>
      <c r="G158" s="224" t="s">
        <v>155</v>
      </c>
      <c r="H158" s="224" t="s">
        <v>155</v>
      </c>
      <c r="I158" s="224" t="s">
        <v>155</v>
      </c>
      <c r="J158" s="224" t="s">
        <v>155</v>
      </c>
      <c r="K158" s="224" t="s">
        <v>155</v>
      </c>
      <c r="L158" s="197" t="s">
        <v>155</v>
      </c>
      <c r="M158" s="225" t="s">
        <v>155</v>
      </c>
      <c r="N158" s="225" t="s">
        <v>155</v>
      </c>
      <c r="O158" s="225" t="s">
        <v>155</v>
      </c>
      <c r="P158" s="224" t="s">
        <v>155</v>
      </c>
      <c r="Q158" s="224" t="s">
        <v>155</v>
      </c>
      <c r="R158" s="197" t="s">
        <v>155</v>
      </c>
      <c r="S158" s="225" t="s">
        <v>155</v>
      </c>
      <c r="T158" s="225" t="s">
        <v>155</v>
      </c>
      <c r="U158" s="193" t="s">
        <v>155</v>
      </c>
      <c r="V158" s="193" t="s">
        <v>155</v>
      </c>
    </row>
    <row r="159" spans="1:22" s="48" customFormat="1" x14ac:dyDescent="0.3">
      <c r="A159" s="99">
        <v>3</v>
      </c>
      <c r="B159" s="150" t="str">
        <f t="shared" si="12"/>
        <v>Cwm Taf Morgannwg UHB, Princess of Wales Hospital</v>
      </c>
      <c r="C159" s="99"/>
      <c r="D159" s="99"/>
      <c r="E159" s="52"/>
      <c r="F159" s="39"/>
      <c r="G159" s="224" t="s">
        <v>155</v>
      </c>
      <c r="H159" s="224" t="s">
        <v>155</v>
      </c>
      <c r="I159" s="224" t="s">
        <v>155</v>
      </c>
      <c r="J159" s="224" t="s">
        <v>155</v>
      </c>
      <c r="K159" s="224" t="s">
        <v>155</v>
      </c>
      <c r="L159" s="197" t="s">
        <v>155</v>
      </c>
      <c r="M159" s="225" t="s">
        <v>155</v>
      </c>
      <c r="N159" s="225" t="s">
        <v>155</v>
      </c>
      <c r="O159" s="225" t="s">
        <v>155</v>
      </c>
      <c r="P159" s="224" t="s">
        <v>155</v>
      </c>
      <c r="Q159" s="224" t="s">
        <v>155</v>
      </c>
      <c r="R159" s="197" t="s">
        <v>155</v>
      </c>
      <c r="S159" s="225" t="s">
        <v>155</v>
      </c>
      <c r="T159" s="225" t="s">
        <v>155</v>
      </c>
      <c r="U159" s="193" t="s">
        <v>155</v>
      </c>
      <c r="V159" s="193" t="s">
        <v>155</v>
      </c>
    </row>
    <row r="160" spans="1:22" s="48" customFormat="1" x14ac:dyDescent="0.3">
      <c r="A160" s="99">
        <v>4</v>
      </c>
      <c r="B160" s="150" t="str">
        <f t="shared" si="12"/>
        <v xml:space="preserve">Cwm Taf Morgannwg UHB, Royal Glamorgan Hospital </v>
      </c>
      <c r="C160" s="99"/>
      <c r="D160" s="99"/>
      <c r="E160" s="52"/>
      <c r="F160" s="39"/>
      <c r="G160" s="224" t="s">
        <v>155</v>
      </c>
      <c r="H160" s="224" t="s">
        <v>155</v>
      </c>
      <c r="I160" s="224" t="s">
        <v>155</v>
      </c>
      <c r="J160" s="224" t="s">
        <v>155</v>
      </c>
      <c r="K160" s="224" t="s">
        <v>155</v>
      </c>
      <c r="L160" s="197" t="s">
        <v>155</v>
      </c>
      <c r="M160" s="225" t="s">
        <v>155</v>
      </c>
      <c r="N160" s="225" t="s">
        <v>155</v>
      </c>
      <c r="O160" s="225" t="s">
        <v>155</v>
      </c>
      <c r="P160" s="224" t="s">
        <v>155</v>
      </c>
      <c r="Q160" s="224" t="s">
        <v>155</v>
      </c>
      <c r="R160" s="197" t="s">
        <v>155</v>
      </c>
      <c r="S160" s="225" t="s">
        <v>155</v>
      </c>
      <c r="T160" s="225" t="s">
        <v>155</v>
      </c>
      <c r="U160" s="193" t="s">
        <v>155</v>
      </c>
      <c r="V160" s="193" t="s">
        <v>155</v>
      </c>
    </row>
    <row r="161" spans="1:22" s="48" customFormat="1" x14ac:dyDescent="0.3">
      <c r="A161" s="99">
        <v>5</v>
      </c>
      <c r="B161" s="150" t="str">
        <f t="shared" si="12"/>
        <v>Cwm Taf Morgannwg UHB, Prince Charles Hospital</v>
      </c>
      <c r="C161" s="99"/>
      <c r="D161" s="99"/>
      <c r="E161" s="52"/>
      <c r="F161" s="39"/>
      <c r="G161" s="224" t="s">
        <v>155</v>
      </c>
      <c r="H161" s="224" t="s">
        <v>155</v>
      </c>
      <c r="I161" s="224" t="s">
        <v>155</v>
      </c>
      <c r="J161" s="224" t="s">
        <v>155</v>
      </c>
      <c r="K161" s="224" t="s">
        <v>155</v>
      </c>
      <c r="L161" s="197" t="s">
        <v>155</v>
      </c>
      <c r="M161" s="225" t="s">
        <v>155</v>
      </c>
      <c r="N161" s="225" t="s">
        <v>155</v>
      </c>
      <c r="O161" s="225" t="s">
        <v>155</v>
      </c>
      <c r="P161" s="224" t="s">
        <v>155</v>
      </c>
      <c r="Q161" s="224" t="s">
        <v>155</v>
      </c>
      <c r="R161" s="197" t="s">
        <v>155</v>
      </c>
      <c r="S161" s="225" t="s">
        <v>155</v>
      </c>
      <c r="T161" s="225" t="s">
        <v>155</v>
      </c>
      <c r="U161" s="193" t="s">
        <v>155</v>
      </c>
      <c r="V161" s="193" t="s">
        <v>155</v>
      </c>
    </row>
    <row r="162" spans="1:22" s="48" customFormat="1" x14ac:dyDescent="0.3">
      <c r="A162" s="99">
        <v>6</v>
      </c>
      <c r="B162" s="150" t="str">
        <f t="shared" si="12"/>
        <v>Hywel Dda UHB, Glangwilli Hospital</v>
      </c>
      <c r="C162" s="99"/>
      <c r="D162" s="99"/>
      <c r="E162" s="52"/>
      <c r="F162" s="39"/>
      <c r="G162" s="224" t="s">
        <v>155</v>
      </c>
      <c r="H162" s="224" t="s">
        <v>155</v>
      </c>
      <c r="I162" s="224" t="s">
        <v>155</v>
      </c>
      <c r="J162" s="224" t="s">
        <v>155</v>
      </c>
      <c r="K162" s="224" t="s">
        <v>155</v>
      </c>
      <c r="L162" s="197" t="s">
        <v>155</v>
      </c>
      <c r="M162" s="225" t="s">
        <v>155</v>
      </c>
      <c r="N162" s="225" t="s">
        <v>155</v>
      </c>
      <c r="O162" s="225" t="s">
        <v>155</v>
      </c>
      <c r="P162" s="224" t="s">
        <v>155</v>
      </c>
      <c r="Q162" s="224" t="s">
        <v>155</v>
      </c>
      <c r="R162" s="197" t="s">
        <v>155</v>
      </c>
      <c r="S162" s="225" t="s">
        <v>155</v>
      </c>
      <c r="T162" s="225" t="s">
        <v>155</v>
      </c>
      <c r="U162" s="193" t="s">
        <v>155</v>
      </c>
      <c r="V162" s="193" t="s">
        <v>155</v>
      </c>
    </row>
    <row r="163" spans="1:22" s="48" customFormat="1" x14ac:dyDescent="0.3">
      <c r="A163" s="99">
        <v>7</v>
      </c>
      <c r="B163" s="150" t="str">
        <f t="shared" si="12"/>
        <v>Hywel Dda UHB, Withybush Hospital</v>
      </c>
      <c r="C163" s="99"/>
      <c r="D163" s="99"/>
      <c r="E163" s="52"/>
      <c r="F163" s="39"/>
      <c r="G163" s="224" t="s">
        <v>155</v>
      </c>
      <c r="H163" s="224" t="s">
        <v>155</v>
      </c>
      <c r="I163" s="224" t="s">
        <v>155</v>
      </c>
      <c r="J163" s="224" t="s">
        <v>155</v>
      </c>
      <c r="K163" s="224" t="s">
        <v>155</v>
      </c>
      <c r="L163" s="197" t="s">
        <v>155</v>
      </c>
      <c r="M163" s="225" t="s">
        <v>155</v>
      </c>
      <c r="N163" s="225" t="s">
        <v>155</v>
      </c>
      <c r="O163" s="225" t="s">
        <v>155</v>
      </c>
      <c r="P163" s="224" t="s">
        <v>155</v>
      </c>
      <c r="Q163" s="224" t="s">
        <v>155</v>
      </c>
      <c r="R163" s="197" t="s">
        <v>155</v>
      </c>
      <c r="S163" s="225" t="s">
        <v>155</v>
      </c>
      <c r="T163" s="225" t="s">
        <v>155</v>
      </c>
      <c r="U163" s="193" t="s">
        <v>155</v>
      </c>
      <c r="V163" s="193" t="s">
        <v>155</v>
      </c>
    </row>
    <row r="164" spans="1:22" s="48" customFormat="1" x14ac:dyDescent="0.3">
      <c r="A164" s="99">
        <v>8</v>
      </c>
      <c r="B164" s="150" t="str">
        <f t="shared" si="12"/>
        <v>Swansea Bay UHB, Morriston / Singleton Hospitals</v>
      </c>
      <c r="C164" s="99"/>
      <c r="D164" s="99"/>
      <c r="E164" s="52"/>
      <c r="F164" s="39"/>
      <c r="G164" s="224" t="s">
        <v>155</v>
      </c>
      <c r="H164" s="224" t="s">
        <v>155</v>
      </c>
      <c r="I164" s="224" t="s">
        <v>155</v>
      </c>
      <c r="J164" s="224" t="s">
        <v>155</v>
      </c>
      <c r="K164" s="224" t="s">
        <v>155</v>
      </c>
      <c r="L164" s="197" t="s">
        <v>155</v>
      </c>
      <c r="M164" s="225" t="s">
        <v>155</v>
      </c>
      <c r="N164" s="225" t="s">
        <v>155</v>
      </c>
      <c r="O164" s="225" t="s">
        <v>155</v>
      </c>
      <c r="P164" s="224" t="s">
        <v>155</v>
      </c>
      <c r="Q164" s="224" t="s">
        <v>155</v>
      </c>
      <c r="R164" s="197" t="s">
        <v>155</v>
      </c>
      <c r="S164" s="225" t="s">
        <v>155</v>
      </c>
      <c r="T164" s="225" t="s">
        <v>155</v>
      </c>
      <c r="U164" s="193" t="s">
        <v>155</v>
      </c>
      <c r="V164" s="193" t="s">
        <v>155</v>
      </c>
    </row>
    <row r="165" spans="1:22" s="48" customFormat="1" x14ac:dyDescent="0.3">
      <c r="A165" s="99">
        <v>9</v>
      </c>
      <c r="B165" s="150" t="str">
        <f t="shared" si="12"/>
        <v xml:space="preserve">Barnstaple, North Devon District Hospital </v>
      </c>
      <c r="C165" s="99"/>
      <c r="D165" s="99"/>
      <c r="E165" s="52"/>
      <c r="F165" s="39"/>
      <c r="G165" s="224" t="s">
        <v>155</v>
      </c>
      <c r="H165" s="224" t="s">
        <v>155</v>
      </c>
      <c r="I165" s="224" t="s">
        <v>155</v>
      </c>
      <c r="J165" s="224" t="s">
        <v>155</v>
      </c>
      <c r="K165" s="224" t="s">
        <v>155</v>
      </c>
      <c r="L165" s="197" t="s">
        <v>155</v>
      </c>
      <c r="M165" s="225" t="s">
        <v>155</v>
      </c>
      <c r="N165" s="225" t="s">
        <v>155</v>
      </c>
      <c r="O165" s="225" t="s">
        <v>155</v>
      </c>
      <c r="P165" s="224" t="s">
        <v>155</v>
      </c>
      <c r="Q165" s="224" t="s">
        <v>155</v>
      </c>
      <c r="R165" s="197" t="s">
        <v>155</v>
      </c>
      <c r="S165" s="225" t="s">
        <v>155</v>
      </c>
      <c r="T165" s="225" t="s">
        <v>155</v>
      </c>
      <c r="U165" s="193" t="s">
        <v>155</v>
      </c>
      <c r="V165" s="193" t="s">
        <v>155</v>
      </c>
    </row>
    <row r="166" spans="1:22" s="48" customFormat="1" x14ac:dyDescent="0.3">
      <c r="A166" s="99">
        <v>10</v>
      </c>
      <c r="B166" s="150" t="str">
        <f t="shared" si="12"/>
        <v>Bristol, Bristol Heart Institute</v>
      </c>
      <c r="C166" s="99"/>
      <c r="D166" s="99"/>
      <c r="E166" s="52"/>
      <c r="F166" s="39"/>
      <c r="G166" s="224" t="s">
        <v>155</v>
      </c>
      <c r="H166" s="224" t="s">
        <v>155</v>
      </c>
      <c r="I166" s="224" t="s">
        <v>155</v>
      </c>
      <c r="J166" s="224" t="s">
        <v>155</v>
      </c>
      <c r="K166" s="224" t="s">
        <v>155</v>
      </c>
      <c r="L166" s="197" t="s">
        <v>155</v>
      </c>
      <c r="M166" s="225" t="s">
        <v>155</v>
      </c>
      <c r="N166" s="225" t="s">
        <v>155</v>
      </c>
      <c r="O166" s="225" t="s">
        <v>155</v>
      </c>
      <c r="P166" s="224" t="s">
        <v>155</v>
      </c>
      <c r="Q166" s="224" t="s">
        <v>155</v>
      </c>
      <c r="R166" s="197" t="s">
        <v>155</v>
      </c>
      <c r="S166" s="225" t="s">
        <v>155</v>
      </c>
      <c r="T166" s="225" t="s">
        <v>155</v>
      </c>
      <c r="U166" s="193" t="s">
        <v>155</v>
      </c>
      <c r="V166" s="193" t="s">
        <v>155</v>
      </c>
    </row>
    <row r="167" spans="1:22" s="48" customFormat="1" x14ac:dyDescent="0.3">
      <c r="A167" s="99">
        <v>11</v>
      </c>
      <c r="B167" s="150" t="str">
        <f t="shared" si="12"/>
        <v xml:space="preserve">Exeter, Royal Devon and Exeter Hospital </v>
      </c>
      <c r="C167" s="99"/>
      <c r="D167" s="99"/>
      <c r="E167" s="52"/>
      <c r="F167" s="39"/>
      <c r="G167" s="224" t="s">
        <v>155</v>
      </c>
      <c r="H167" s="224" t="s">
        <v>155</v>
      </c>
      <c r="I167" s="224" t="s">
        <v>155</v>
      </c>
      <c r="J167" s="224" t="s">
        <v>155</v>
      </c>
      <c r="K167" s="224" t="s">
        <v>155</v>
      </c>
      <c r="L167" s="197" t="s">
        <v>155</v>
      </c>
      <c r="M167" s="225" t="s">
        <v>155</v>
      </c>
      <c r="N167" s="225" t="s">
        <v>155</v>
      </c>
      <c r="O167" s="225" t="s">
        <v>155</v>
      </c>
      <c r="P167" s="224" t="s">
        <v>155</v>
      </c>
      <c r="Q167" s="224" t="s">
        <v>155</v>
      </c>
      <c r="R167" s="197" t="s">
        <v>155</v>
      </c>
      <c r="S167" s="225" t="s">
        <v>155</v>
      </c>
      <c r="T167" s="225" t="s">
        <v>155</v>
      </c>
      <c r="U167" s="193" t="s">
        <v>155</v>
      </c>
      <c r="V167" s="193" t="s">
        <v>155</v>
      </c>
    </row>
    <row r="168" spans="1:22" s="48" customFormat="1" x14ac:dyDescent="0.3">
      <c r="A168" s="99">
        <v>12</v>
      </c>
      <c r="B168" s="150" t="str">
        <f t="shared" si="12"/>
        <v>Gloucester, Gloucestershire Hospitals</v>
      </c>
      <c r="C168" s="99"/>
      <c r="D168" s="99"/>
      <c r="E168" s="52"/>
      <c r="F168" s="39"/>
      <c r="G168" s="224" t="s">
        <v>155</v>
      </c>
      <c r="H168" s="224" t="s">
        <v>155</v>
      </c>
      <c r="I168" s="224" t="s">
        <v>155</v>
      </c>
      <c r="J168" s="224" t="s">
        <v>155</v>
      </c>
      <c r="K168" s="224" t="s">
        <v>155</v>
      </c>
      <c r="L168" s="197" t="s">
        <v>155</v>
      </c>
      <c r="M168" s="225" t="s">
        <v>155</v>
      </c>
      <c r="N168" s="225" t="s">
        <v>155</v>
      </c>
      <c r="O168" s="225" t="s">
        <v>155</v>
      </c>
      <c r="P168" s="224" t="s">
        <v>155</v>
      </c>
      <c r="Q168" s="224" t="s">
        <v>155</v>
      </c>
      <c r="R168" s="197" t="s">
        <v>155</v>
      </c>
      <c r="S168" s="225" t="s">
        <v>155</v>
      </c>
      <c r="T168" s="225" t="s">
        <v>155</v>
      </c>
      <c r="U168" s="193" t="s">
        <v>155</v>
      </c>
      <c r="V168" s="193" t="s">
        <v>155</v>
      </c>
    </row>
    <row r="169" spans="1:22" s="48" customFormat="1" x14ac:dyDescent="0.3">
      <c r="A169" s="99">
        <v>13</v>
      </c>
      <c r="B169" s="150" t="str">
        <f t="shared" si="12"/>
        <v xml:space="preserve">Plymouth, Derriford Hospital </v>
      </c>
      <c r="C169" s="168"/>
      <c r="D169" s="168"/>
      <c r="E169" s="52"/>
      <c r="F169" s="39"/>
      <c r="G169" s="224" t="s">
        <v>155</v>
      </c>
      <c r="H169" s="224" t="s">
        <v>155</v>
      </c>
      <c r="I169" s="224" t="s">
        <v>155</v>
      </c>
      <c r="J169" s="224" t="s">
        <v>155</v>
      </c>
      <c r="K169" s="224" t="s">
        <v>155</v>
      </c>
      <c r="L169" s="197" t="s">
        <v>155</v>
      </c>
      <c r="M169" s="225" t="s">
        <v>155</v>
      </c>
      <c r="N169" s="225" t="s">
        <v>155</v>
      </c>
      <c r="O169" s="225" t="s">
        <v>155</v>
      </c>
      <c r="P169" s="224" t="s">
        <v>155</v>
      </c>
      <c r="Q169" s="224" t="s">
        <v>155</v>
      </c>
      <c r="R169" s="197" t="s">
        <v>155</v>
      </c>
      <c r="S169" s="225" t="s">
        <v>155</v>
      </c>
      <c r="T169" s="225" t="s">
        <v>155</v>
      </c>
      <c r="U169" s="193" t="s">
        <v>155</v>
      </c>
      <c r="V169" s="193" t="s">
        <v>155</v>
      </c>
    </row>
    <row r="170" spans="1:22" s="48" customFormat="1" x14ac:dyDescent="0.3">
      <c r="A170" s="99">
        <v>14</v>
      </c>
      <c r="B170" s="150" t="str">
        <f t="shared" si="12"/>
        <v xml:space="preserve">Swindon, Great Weston Hospital </v>
      </c>
      <c r="C170" s="99"/>
      <c r="D170" s="99"/>
      <c r="E170" s="52"/>
      <c r="F170" s="39"/>
      <c r="G170" s="224" t="s">
        <v>155</v>
      </c>
      <c r="H170" s="224" t="s">
        <v>155</v>
      </c>
      <c r="I170" s="224" t="s">
        <v>155</v>
      </c>
      <c r="J170" s="224" t="s">
        <v>155</v>
      </c>
      <c r="K170" s="224" t="s">
        <v>155</v>
      </c>
      <c r="L170" s="197" t="s">
        <v>155</v>
      </c>
      <c r="M170" s="225" t="s">
        <v>155</v>
      </c>
      <c r="N170" s="225" t="s">
        <v>155</v>
      </c>
      <c r="O170" s="225" t="s">
        <v>155</v>
      </c>
      <c r="P170" s="224" t="s">
        <v>155</v>
      </c>
      <c r="Q170" s="224" t="s">
        <v>155</v>
      </c>
      <c r="R170" s="197" t="s">
        <v>155</v>
      </c>
      <c r="S170" s="225" t="s">
        <v>155</v>
      </c>
      <c r="T170" s="225" t="s">
        <v>155</v>
      </c>
      <c r="U170" s="193" t="s">
        <v>155</v>
      </c>
      <c r="V170" s="193" t="s">
        <v>155</v>
      </c>
    </row>
    <row r="171" spans="1:22" s="48" customFormat="1" x14ac:dyDescent="0.3">
      <c r="A171" s="99">
        <v>15</v>
      </c>
      <c r="B171" s="150" t="str">
        <f t="shared" si="12"/>
        <v xml:space="preserve">Taunton, Musgrove Park Hospital </v>
      </c>
      <c r="C171" s="99"/>
      <c r="D171" s="99"/>
      <c r="E171" s="52"/>
      <c r="F171" s="39"/>
      <c r="G171" s="224" t="s">
        <v>155</v>
      </c>
      <c r="H171" s="224" t="s">
        <v>155</v>
      </c>
      <c r="I171" s="224" t="s">
        <v>155</v>
      </c>
      <c r="J171" s="224" t="s">
        <v>155</v>
      </c>
      <c r="K171" s="224" t="s">
        <v>155</v>
      </c>
      <c r="L171" s="197" t="s">
        <v>155</v>
      </c>
      <c r="M171" s="225" t="s">
        <v>155</v>
      </c>
      <c r="N171" s="225" t="s">
        <v>155</v>
      </c>
      <c r="O171" s="225" t="s">
        <v>155</v>
      </c>
      <c r="P171" s="224" t="s">
        <v>155</v>
      </c>
      <c r="Q171" s="224" t="s">
        <v>155</v>
      </c>
      <c r="R171" s="197" t="s">
        <v>155</v>
      </c>
      <c r="S171" s="225" t="s">
        <v>155</v>
      </c>
      <c r="T171" s="225" t="s">
        <v>155</v>
      </c>
      <c r="U171" s="193" t="s">
        <v>155</v>
      </c>
      <c r="V171" s="193" t="s">
        <v>155</v>
      </c>
    </row>
    <row r="172" spans="1:22" s="48" customFormat="1" x14ac:dyDescent="0.3">
      <c r="A172" s="99">
        <v>16</v>
      </c>
      <c r="B172" s="150" t="str">
        <f t="shared" si="12"/>
        <v xml:space="preserve">Torquay, Torbay General District Hospital </v>
      </c>
      <c r="C172" s="99"/>
      <c r="D172" s="99"/>
      <c r="E172" s="52"/>
      <c r="F172" s="39"/>
      <c r="G172" s="224" t="s">
        <v>155</v>
      </c>
      <c r="H172" s="224" t="s">
        <v>155</v>
      </c>
      <c r="I172" s="224" t="s">
        <v>155</v>
      </c>
      <c r="J172" s="224" t="s">
        <v>155</v>
      </c>
      <c r="K172" s="224" t="s">
        <v>155</v>
      </c>
      <c r="L172" s="197" t="s">
        <v>155</v>
      </c>
      <c r="M172" s="225" t="s">
        <v>155</v>
      </c>
      <c r="N172" s="225" t="s">
        <v>155</v>
      </c>
      <c r="O172" s="225" t="s">
        <v>155</v>
      </c>
      <c r="P172" s="224" t="s">
        <v>155</v>
      </c>
      <c r="Q172" s="224" t="s">
        <v>155</v>
      </c>
      <c r="R172" s="197" t="s">
        <v>155</v>
      </c>
      <c r="S172" s="225" t="s">
        <v>155</v>
      </c>
      <c r="T172" s="225" t="s">
        <v>155</v>
      </c>
      <c r="U172" s="193" t="s">
        <v>155</v>
      </c>
      <c r="V172" s="193" t="s">
        <v>155</v>
      </c>
    </row>
    <row r="173" spans="1:22" s="48" customFormat="1" x14ac:dyDescent="0.3">
      <c r="A173" s="99">
        <v>17</v>
      </c>
      <c r="B173" s="153" t="str">
        <f t="shared" si="12"/>
        <v xml:space="preserve">Truro, Royal Cornwall Hospital </v>
      </c>
      <c r="C173" s="99"/>
      <c r="D173" s="99"/>
      <c r="E173" s="52"/>
      <c r="F173" s="39"/>
      <c r="G173" s="224" t="s">
        <v>155</v>
      </c>
      <c r="H173" s="224" t="s">
        <v>155</v>
      </c>
      <c r="I173" s="224" t="s">
        <v>155</v>
      </c>
      <c r="J173" s="224" t="s">
        <v>155</v>
      </c>
      <c r="K173" s="224" t="s">
        <v>155</v>
      </c>
      <c r="L173" s="197" t="s">
        <v>155</v>
      </c>
      <c r="M173" s="225" t="s">
        <v>155</v>
      </c>
      <c r="N173" s="225" t="s">
        <v>155</v>
      </c>
      <c r="O173" s="225" t="s">
        <v>155</v>
      </c>
      <c r="P173" s="224" t="s">
        <v>155</v>
      </c>
      <c r="Q173" s="224" t="s">
        <v>155</v>
      </c>
      <c r="R173" s="197" t="s">
        <v>155</v>
      </c>
      <c r="S173" s="225" t="s">
        <v>155</v>
      </c>
      <c r="T173" s="225" t="s">
        <v>155</v>
      </c>
      <c r="U173" s="193" t="s">
        <v>155</v>
      </c>
      <c r="V173" s="193" t="s">
        <v>155</v>
      </c>
    </row>
    <row r="174" spans="1:22" s="48" customFormat="1" x14ac:dyDescent="0.3">
      <c r="B174" s="99"/>
      <c r="D174" s="99"/>
      <c r="E174" s="242">
        <f t="shared" ref="E174:V174" ca="1" si="13">OFFSET(E157,AdultChoice-1,0)</f>
        <v>0</v>
      </c>
      <c r="F174" s="243">
        <f t="shared" ca="1" si="13"/>
        <v>0</v>
      </c>
      <c r="G174" s="51" t="str">
        <f t="shared" ca="1" si="13"/>
        <v>No data</v>
      </c>
      <c r="H174" s="51" t="str">
        <f t="shared" ca="1" si="13"/>
        <v>No data</v>
      </c>
      <c r="I174" s="51" t="str">
        <f t="shared" ca="1" si="13"/>
        <v>No data</v>
      </c>
      <c r="J174" s="51" t="str">
        <f t="shared" ca="1" si="13"/>
        <v>No data</v>
      </c>
      <c r="K174" s="51" t="str">
        <f t="shared" ca="1" si="13"/>
        <v>No data</v>
      </c>
      <c r="L174" s="51" t="str">
        <f t="shared" ca="1" si="13"/>
        <v>No data</v>
      </c>
      <c r="M174" s="51" t="str">
        <f t="shared" ca="1" si="13"/>
        <v>No data</v>
      </c>
      <c r="N174" s="51" t="str">
        <f t="shared" ca="1" si="13"/>
        <v>No data</v>
      </c>
      <c r="O174" s="51" t="str">
        <f t="shared" ca="1" si="13"/>
        <v>No data</v>
      </c>
      <c r="P174" s="51" t="str">
        <f t="shared" ca="1" si="13"/>
        <v>No data</v>
      </c>
      <c r="Q174" s="51" t="str">
        <f t="shared" ca="1" si="13"/>
        <v>No data</v>
      </c>
      <c r="R174" s="51" t="str">
        <f t="shared" ca="1" si="13"/>
        <v>No data</v>
      </c>
      <c r="S174" s="51" t="str">
        <f t="shared" ca="1" si="13"/>
        <v>No data</v>
      </c>
      <c r="T174" s="51" t="str">
        <f t="shared" ca="1" si="13"/>
        <v>No data</v>
      </c>
      <c r="U174" s="113" t="str">
        <f t="shared" ca="1" si="13"/>
        <v>No data</v>
      </c>
      <c r="V174" s="113" t="str">
        <f t="shared" ca="1" si="13"/>
        <v>No data</v>
      </c>
    </row>
    <row r="175" spans="1:22" s="50" customFormat="1" x14ac:dyDescent="0.3">
      <c r="B175" s="98"/>
      <c r="D175" s="98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</row>
    <row r="176" spans="1:22" s="37" customFormat="1" ht="21" x14ac:dyDescent="0.3">
      <c r="A176" s="55" t="s">
        <v>64</v>
      </c>
      <c r="B176" s="55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</row>
    <row r="177" spans="1:22" s="50" customFormat="1" x14ac:dyDescent="0.3">
      <c r="A177" s="2"/>
      <c r="B177" s="2">
        <v>2</v>
      </c>
      <c r="C177" s="2">
        <v>3</v>
      </c>
      <c r="D177" s="2">
        <v>4</v>
      </c>
      <c r="E177" s="2">
        <v>5</v>
      </c>
      <c r="F177" s="2">
        <v>6</v>
      </c>
      <c r="G177" s="2">
        <v>7</v>
      </c>
      <c r="H177" s="2">
        <v>8</v>
      </c>
      <c r="I177" s="2">
        <v>9</v>
      </c>
      <c r="J177" s="2">
        <v>10</v>
      </c>
      <c r="K177" s="2">
        <v>11</v>
      </c>
      <c r="L177" s="2">
        <v>12</v>
      </c>
      <c r="M177" s="2">
        <v>13</v>
      </c>
      <c r="N177" s="2">
        <v>14</v>
      </c>
      <c r="O177" s="2">
        <v>15</v>
      </c>
      <c r="P177" s="2">
        <v>16</v>
      </c>
      <c r="Q177" s="2">
        <v>17</v>
      </c>
      <c r="R177" s="2">
        <v>18</v>
      </c>
      <c r="S177" s="2">
        <v>19</v>
      </c>
      <c r="T177" s="2">
        <v>20</v>
      </c>
      <c r="U177" s="2">
        <v>21</v>
      </c>
      <c r="V177" s="2">
        <v>22</v>
      </c>
    </row>
    <row r="178" spans="1:22" s="48" customFormat="1" x14ac:dyDescent="0.3">
      <c r="A178" s="99"/>
      <c r="B178" s="99"/>
      <c r="C178" s="430" t="s">
        <v>110</v>
      </c>
      <c r="D178" s="430" t="s">
        <v>111</v>
      </c>
      <c r="E178" s="430" t="s">
        <v>0</v>
      </c>
      <c r="F178" s="430" t="s">
        <v>112</v>
      </c>
      <c r="G178" s="430" t="s">
        <v>42</v>
      </c>
      <c r="H178" s="430"/>
      <c r="I178" s="430" t="s">
        <v>43</v>
      </c>
      <c r="J178" s="430"/>
      <c r="K178" s="430"/>
      <c r="L178" s="430"/>
      <c r="M178" s="430"/>
      <c r="N178" s="430"/>
      <c r="O178" s="430"/>
      <c r="P178" s="430"/>
      <c r="Q178" s="430"/>
      <c r="R178" s="430"/>
      <c r="S178" s="430"/>
      <c r="T178" s="430"/>
      <c r="U178" s="430" t="s">
        <v>41</v>
      </c>
      <c r="V178" s="430"/>
    </row>
    <row r="179" spans="1:22" s="48" customFormat="1" x14ac:dyDescent="0.3">
      <c r="A179" s="99"/>
      <c r="B179" s="99"/>
      <c r="C179" s="430"/>
      <c r="D179" s="430"/>
      <c r="E179" s="430"/>
      <c r="F179" s="430"/>
      <c r="G179" s="430" t="s">
        <v>1</v>
      </c>
      <c r="H179" s="430" t="s">
        <v>2</v>
      </c>
      <c r="I179" s="430" t="s">
        <v>1</v>
      </c>
      <c r="J179" s="430"/>
      <c r="K179" s="430"/>
      <c r="L179" s="430"/>
      <c r="M179" s="430"/>
      <c r="N179" s="430"/>
      <c r="O179" s="430" t="s">
        <v>40</v>
      </c>
      <c r="P179" s="430"/>
      <c r="Q179" s="430"/>
      <c r="R179" s="430"/>
      <c r="S179" s="430"/>
      <c r="T179" s="430"/>
      <c r="U179" s="430" t="s">
        <v>1</v>
      </c>
      <c r="V179" s="430" t="s">
        <v>40</v>
      </c>
    </row>
    <row r="180" spans="1:22" s="48" customFormat="1" ht="28.8" x14ac:dyDescent="0.3">
      <c r="A180" s="99"/>
      <c r="B180" s="99"/>
      <c r="C180" s="430"/>
      <c r="D180" s="430"/>
      <c r="E180" s="430"/>
      <c r="F180" s="430"/>
      <c r="G180" s="430"/>
      <c r="H180" s="430"/>
      <c r="I180" s="99" t="s">
        <v>113</v>
      </c>
      <c r="J180" s="99" t="s">
        <v>37</v>
      </c>
      <c r="K180" s="99" t="s">
        <v>38</v>
      </c>
      <c r="L180" s="38" t="s">
        <v>39</v>
      </c>
      <c r="M180" s="99" t="s">
        <v>152</v>
      </c>
      <c r="N180" s="99" t="s">
        <v>115</v>
      </c>
      <c r="O180" s="99" t="s">
        <v>113</v>
      </c>
      <c r="P180" s="99" t="s">
        <v>37</v>
      </c>
      <c r="Q180" s="99" t="s">
        <v>38</v>
      </c>
      <c r="R180" s="38" t="s">
        <v>39</v>
      </c>
      <c r="S180" s="99" t="s">
        <v>114</v>
      </c>
      <c r="T180" s="99" t="s">
        <v>116</v>
      </c>
      <c r="U180" s="430"/>
      <c r="V180" s="430"/>
    </row>
    <row r="181" spans="1:22" s="48" customFormat="1" x14ac:dyDescent="0.3">
      <c r="A181" s="99">
        <v>1</v>
      </c>
      <c r="B181" s="150" t="str">
        <f t="shared" ref="B181:B198" si="14">VLOOKUP(A181,PaedSites,2)</f>
        <v>Aneurin Bevan UHB, Nevill Hall &amp; Royal Gwent Hospitals</v>
      </c>
      <c r="C181" s="99"/>
      <c r="D181" s="99"/>
      <c r="E181" s="52"/>
      <c r="F181" s="39"/>
      <c r="G181" s="224" t="s">
        <v>155</v>
      </c>
      <c r="H181" s="224" t="s">
        <v>155</v>
      </c>
      <c r="I181" s="224" t="s">
        <v>155</v>
      </c>
      <c r="J181" s="224" t="s">
        <v>155</v>
      </c>
      <c r="K181" s="224" t="s">
        <v>155</v>
      </c>
      <c r="L181" s="197" t="s">
        <v>155</v>
      </c>
      <c r="M181" s="225" t="s">
        <v>155</v>
      </c>
      <c r="N181" s="225" t="s">
        <v>155</v>
      </c>
      <c r="O181" s="225" t="s">
        <v>155</v>
      </c>
      <c r="P181" s="224" t="s">
        <v>155</v>
      </c>
      <c r="Q181" s="224" t="s">
        <v>155</v>
      </c>
      <c r="R181" s="197" t="s">
        <v>155</v>
      </c>
      <c r="S181" s="225" t="s">
        <v>155</v>
      </c>
      <c r="T181" s="225" t="s">
        <v>155</v>
      </c>
      <c r="U181" s="193" t="s">
        <v>155</v>
      </c>
      <c r="V181" s="193" t="s">
        <v>155</v>
      </c>
    </row>
    <row r="182" spans="1:22" s="48" customFormat="1" x14ac:dyDescent="0.3">
      <c r="A182" s="99">
        <v>2</v>
      </c>
      <c r="B182" s="150" t="str">
        <f t="shared" si="14"/>
        <v>Cardiff &amp; Vale UHB, Noah’s Ark</v>
      </c>
      <c r="C182" s="99"/>
      <c r="D182" s="99"/>
      <c r="E182" s="52"/>
      <c r="F182" s="39"/>
      <c r="G182" s="224" t="s">
        <v>155</v>
      </c>
      <c r="H182" s="224" t="s">
        <v>155</v>
      </c>
      <c r="I182" s="224" t="s">
        <v>155</v>
      </c>
      <c r="J182" s="224" t="s">
        <v>155</v>
      </c>
      <c r="K182" s="224" t="s">
        <v>155</v>
      </c>
      <c r="L182" s="197" t="s">
        <v>155</v>
      </c>
      <c r="M182" s="225" t="s">
        <v>155</v>
      </c>
      <c r="N182" s="225" t="s">
        <v>155</v>
      </c>
      <c r="O182" s="225" t="s">
        <v>155</v>
      </c>
      <c r="P182" s="224" t="s">
        <v>155</v>
      </c>
      <c r="Q182" s="224" t="s">
        <v>155</v>
      </c>
      <c r="R182" s="197" t="s">
        <v>155</v>
      </c>
      <c r="S182" s="225" t="s">
        <v>155</v>
      </c>
      <c r="T182" s="225" t="s">
        <v>155</v>
      </c>
      <c r="U182" s="193" t="s">
        <v>155</v>
      </c>
      <c r="V182" s="193" t="s">
        <v>155</v>
      </c>
    </row>
    <row r="183" spans="1:22" s="48" customFormat="1" x14ac:dyDescent="0.3">
      <c r="A183" s="99">
        <v>3</v>
      </c>
      <c r="B183" s="150" t="str">
        <f t="shared" si="14"/>
        <v>Cwm Taf Morgannwg UHB, Princess of Wales Hospital</v>
      </c>
      <c r="C183" s="99"/>
      <c r="D183" s="99"/>
      <c r="E183" s="52"/>
      <c r="F183" s="39"/>
      <c r="G183" s="224" t="s">
        <v>155</v>
      </c>
      <c r="H183" s="224" t="s">
        <v>155</v>
      </c>
      <c r="I183" s="224" t="s">
        <v>155</v>
      </c>
      <c r="J183" s="224" t="s">
        <v>155</v>
      </c>
      <c r="K183" s="224" t="s">
        <v>155</v>
      </c>
      <c r="L183" s="197" t="s">
        <v>155</v>
      </c>
      <c r="M183" s="225" t="s">
        <v>155</v>
      </c>
      <c r="N183" s="225" t="s">
        <v>155</v>
      </c>
      <c r="O183" s="225" t="s">
        <v>155</v>
      </c>
      <c r="P183" s="224" t="s">
        <v>155</v>
      </c>
      <c r="Q183" s="224" t="s">
        <v>155</v>
      </c>
      <c r="R183" s="197" t="s">
        <v>155</v>
      </c>
      <c r="S183" s="225" t="s">
        <v>155</v>
      </c>
      <c r="T183" s="225" t="s">
        <v>155</v>
      </c>
      <c r="U183" s="193" t="s">
        <v>155</v>
      </c>
      <c r="V183" s="193" t="s">
        <v>155</v>
      </c>
    </row>
    <row r="184" spans="1:22" s="48" customFormat="1" x14ac:dyDescent="0.3">
      <c r="A184" s="99">
        <v>4</v>
      </c>
      <c r="B184" s="150" t="str">
        <f t="shared" si="14"/>
        <v xml:space="preserve">Cwm Taf Morgannwg UHB, Royal Glamorgan Hospital </v>
      </c>
      <c r="C184" s="99"/>
      <c r="D184" s="99"/>
      <c r="E184" s="52"/>
      <c r="F184" s="39"/>
      <c r="G184" s="224" t="s">
        <v>155</v>
      </c>
      <c r="H184" s="224" t="s">
        <v>155</v>
      </c>
      <c r="I184" s="224" t="s">
        <v>155</v>
      </c>
      <c r="J184" s="224" t="s">
        <v>155</v>
      </c>
      <c r="K184" s="224" t="s">
        <v>155</v>
      </c>
      <c r="L184" s="197" t="s">
        <v>155</v>
      </c>
      <c r="M184" s="225" t="s">
        <v>155</v>
      </c>
      <c r="N184" s="225" t="s">
        <v>155</v>
      </c>
      <c r="O184" s="225" t="s">
        <v>155</v>
      </c>
      <c r="P184" s="224" t="s">
        <v>155</v>
      </c>
      <c r="Q184" s="224" t="s">
        <v>155</v>
      </c>
      <c r="R184" s="197" t="s">
        <v>155</v>
      </c>
      <c r="S184" s="225" t="s">
        <v>155</v>
      </c>
      <c r="T184" s="225" t="s">
        <v>155</v>
      </c>
      <c r="U184" s="193" t="s">
        <v>155</v>
      </c>
      <c r="V184" s="193" t="s">
        <v>155</v>
      </c>
    </row>
    <row r="185" spans="1:22" s="48" customFormat="1" x14ac:dyDescent="0.3">
      <c r="A185" s="99">
        <v>5</v>
      </c>
      <c r="B185" s="150" t="str">
        <f t="shared" si="14"/>
        <v>Cwm Taf Morgannwg UHB, Prince Charles Hospital</v>
      </c>
      <c r="C185" s="99"/>
      <c r="D185" s="99"/>
      <c r="E185" s="52"/>
      <c r="F185" s="39"/>
      <c r="G185" s="224" t="s">
        <v>155</v>
      </c>
      <c r="H185" s="224" t="s">
        <v>155</v>
      </c>
      <c r="I185" s="224" t="s">
        <v>155</v>
      </c>
      <c r="J185" s="224" t="s">
        <v>155</v>
      </c>
      <c r="K185" s="224" t="s">
        <v>155</v>
      </c>
      <c r="L185" s="197" t="s">
        <v>155</v>
      </c>
      <c r="M185" s="225" t="s">
        <v>155</v>
      </c>
      <c r="N185" s="225" t="s">
        <v>155</v>
      </c>
      <c r="O185" s="225" t="s">
        <v>155</v>
      </c>
      <c r="P185" s="224" t="s">
        <v>155</v>
      </c>
      <c r="Q185" s="224" t="s">
        <v>155</v>
      </c>
      <c r="R185" s="197" t="s">
        <v>155</v>
      </c>
      <c r="S185" s="225" t="s">
        <v>155</v>
      </c>
      <c r="T185" s="225" t="s">
        <v>155</v>
      </c>
      <c r="U185" s="193" t="s">
        <v>155</v>
      </c>
      <c r="V185" s="193" t="s">
        <v>155</v>
      </c>
    </row>
    <row r="186" spans="1:22" s="48" customFormat="1" x14ac:dyDescent="0.3">
      <c r="A186" s="99">
        <v>6</v>
      </c>
      <c r="B186" s="150" t="str">
        <f t="shared" si="14"/>
        <v>Hywel Dda UHB, Glangwilli Hospital</v>
      </c>
      <c r="C186" s="99"/>
      <c r="D186" s="99"/>
      <c r="E186" s="52"/>
      <c r="F186" s="39"/>
      <c r="G186" s="224" t="s">
        <v>155</v>
      </c>
      <c r="H186" s="224" t="s">
        <v>155</v>
      </c>
      <c r="I186" s="224" t="s">
        <v>155</v>
      </c>
      <c r="J186" s="224" t="s">
        <v>155</v>
      </c>
      <c r="K186" s="224" t="s">
        <v>155</v>
      </c>
      <c r="L186" s="197" t="s">
        <v>155</v>
      </c>
      <c r="M186" s="225" t="s">
        <v>155</v>
      </c>
      <c r="N186" s="225" t="s">
        <v>155</v>
      </c>
      <c r="O186" s="225" t="s">
        <v>155</v>
      </c>
      <c r="P186" s="224" t="s">
        <v>155</v>
      </c>
      <c r="Q186" s="224" t="s">
        <v>155</v>
      </c>
      <c r="R186" s="197" t="s">
        <v>155</v>
      </c>
      <c r="S186" s="225" t="s">
        <v>155</v>
      </c>
      <c r="T186" s="225" t="s">
        <v>155</v>
      </c>
      <c r="U186" s="193" t="s">
        <v>155</v>
      </c>
      <c r="V186" s="193" t="s">
        <v>155</v>
      </c>
    </row>
    <row r="187" spans="1:22" s="48" customFormat="1" x14ac:dyDescent="0.3">
      <c r="A187" s="99">
        <v>7</v>
      </c>
      <c r="B187" s="150" t="str">
        <f t="shared" si="14"/>
        <v>Hywel Dda UHB, Withybush Hospital</v>
      </c>
      <c r="C187" s="99"/>
      <c r="D187" s="99"/>
      <c r="E187" s="52"/>
      <c r="F187" s="39"/>
      <c r="G187" s="224" t="s">
        <v>155</v>
      </c>
      <c r="H187" s="224" t="s">
        <v>155</v>
      </c>
      <c r="I187" s="224" t="s">
        <v>155</v>
      </c>
      <c r="J187" s="224" t="s">
        <v>155</v>
      </c>
      <c r="K187" s="224" t="s">
        <v>155</v>
      </c>
      <c r="L187" s="197" t="s">
        <v>155</v>
      </c>
      <c r="M187" s="225" t="s">
        <v>155</v>
      </c>
      <c r="N187" s="225" t="s">
        <v>155</v>
      </c>
      <c r="O187" s="225" t="s">
        <v>155</v>
      </c>
      <c r="P187" s="224" t="s">
        <v>155</v>
      </c>
      <c r="Q187" s="224" t="s">
        <v>155</v>
      </c>
      <c r="R187" s="197" t="s">
        <v>155</v>
      </c>
      <c r="S187" s="225" t="s">
        <v>155</v>
      </c>
      <c r="T187" s="225" t="s">
        <v>155</v>
      </c>
      <c r="U187" s="193" t="s">
        <v>155</v>
      </c>
      <c r="V187" s="193" t="s">
        <v>155</v>
      </c>
    </row>
    <row r="188" spans="1:22" x14ac:dyDescent="0.3">
      <c r="A188" s="99">
        <v>8</v>
      </c>
      <c r="B188" s="150" t="str">
        <f t="shared" si="14"/>
        <v>Swansea Bay UHB, Morriston / Singleton Hospitals</v>
      </c>
      <c r="C188" s="99"/>
      <c r="D188" s="99"/>
      <c r="E188" s="52"/>
      <c r="F188" s="39"/>
      <c r="G188" s="224" t="s">
        <v>155</v>
      </c>
      <c r="H188" s="224" t="s">
        <v>155</v>
      </c>
      <c r="I188" s="224" t="s">
        <v>155</v>
      </c>
      <c r="J188" s="224" t="s">
        <v>155</v>
      </c>
      <c r="K188" s="224" t="s">
        <v>155</v>
      </c>
      <c r="L188" s="197" t="s">
        <v>155</v>
      </c>
      <c r="M188" s="225" t="s">
        <v>155</v>
      </c>
      <c r="N188" s="225" t="s">
        <v>155</v>
      </c>
      <c r="O188" s="225" t="s">
        <v>155</v>
      </c>
      <c r="P188" s="224" t="s">
        <v>155</v>
      </c>
      <c r="Q188" s="224" t="s">
        <v>155</v>
      </c>
      <c r="R188" s="197" t="s">
        <v>155</v>
      </c>
      <c r="S188" s="225" t="s">
        <v>155</v>
      </c>
      <c r="T188" s="225" t="s">
        <v>155</v>
      </c>
      <c r="U188" s="193" t="s">
        <v>155</v>
      </c>
      <c r="V188" s="193" t="s">
        <v>155</v>
      </c>
    </row>
    <row r="189" spans="1:22" x14ac:dyDescent="0.3">
      <c r="A189" s="99">
        <v>9</v>
      </c>
      <c r="B189" s="150" t="str">
        <f t="shared" si="14"/>
        <v xml:space="preserve">Barnstaple, North Devon District Hospital </v>
      </c>
      <c r="C189" s="99"/>
      <c r="D189" s="99"/>
      <c r="E189" s="52"/>
      <c r="F189" s="39"/>
      <c r="G189" s="224" t="s">
        <v>155</v>
      </c>
      <c r="H189" s="224" t="s">
        <v>155</v>
      </c>
      <c r="I189" s="224" t="s">
        <v>155</v>
      </c>
      <c r="J189" s="224" t="s">
        <v>155</v>
      </c>
      <c r="K189" s="224" t="s">
        <v>155</v>
      </c>
      <c r="L189" s="197" t="s">
        <v>155</v>
      </c>
      <c r="M189" s="225" t="s">
        <v>155</v>
      </c>
      <c r="N189" s="225" t="s">
        <v>155</v>
      </c>
      <c r="O189" s="225" t="s">
        <v>155</v>
      </c>
      <c r="P189" s="224" t="s">
        <v>155</v>
      </c>
      <c r="Q189" s="224" t="s">
        <v>155</v>
      </c>
      <c r="R189" s="197" t="s">
        <v>155</v>
      </c>
      <c r="S189" s="225" t="s">
        <v>155</v>
      </c>
      <c r="T189" s="225" t="s">
        <v>155</v>
      </c>
      <c r="U189" s="193" t="s">
        <v>155</v>
      </c>
      <c r="V189" s="193" t="s">
        <v>155</v>
      </c>
    </row>
    <row r="190" spans="1:22" x14ac:dyDescent="0.3">
      <c r="A190" s="99">
        <v>10</v>
      </c>
      <c r="B190" s="150" t="str">
        <f t="shared" si="14"/>
        <v xml:space="preserve">Bath, Royal United Hospital </v>
      </c>
      <c r="C190" s="99"/>
      <c r="D190" s="99"/>
      <c r="E190" s="52"/>
      <c r="F190" s="39"/>
      <c r="G190" s="224" t="s">
        <v>155</v>
      </c>
      <c r="H190" s="224" t="s">
        <v>155</v>
      </c>
      <c r="I190" s="224" t="s">
        <v>155</v>
      </c>
      <c r="J190" s="224" t="s">
        <v>155</v>
      </c>
      <c r="K190" s="224" t="s">
        <v>155</v>
      </c>
      <c r="L190" s="197" t="s">
        <v>155</v>
      </c>
      <c r="M190" s="225" t="s">
        <v>155</v>
      </c>
      <c r="N190" s="225" t="s">
        <v>155</v>
      </c>
      <c r="O190" s="225" t="s">
        <v>155</v>
      </c>
      <c r="P190" s="224" t="s">
        <v>155</v>
      </c>
      <c r="Q190" s="224" t="s">
        <v>155</v>
      </c>
      <c r="R190" s="197" t="s">
        <v>155</v>
      </c>
      <c r="S190" s="225" t="s">
        <v>155</v>
      </c>
      <c r="T190" s="225" t="s">
        <v>155</v>
      </c>
      <c r="U190" s="193" t="s">
        <v>155</v>
      </c>
      <c r="V190" s="193" t="s">
        <v>155</v>
      </c>
    </row>
    <row r="191" spans="1:22" x14ac:dyDescent="0.3">
      <c r="A191" s="99">
        <v>11</v>
      </c>
      <c r="B191" s="150" t="str">
        <f t="shared" si="14"/>
        <v>Bristol Royal Hospital for Children</v>
      </c>
      <c r="C191" s="99"/>
      <c r="D191" s="99"/>
      <c r="E191" s="52"/>
      <c r="F191" s="39"/>
      <c r="G191" s="224" t="s">
        <v>155</v>
      </c>
      <c r="H191" s="224" t="s">
        <v>155</v>
      </c>
      <c r="I191" s="224" t="s">
        <v>155</v>
      </c>
      <c r="J191" s="224" t="s">
        <v>155</v>
      </c>
      <c r="K191" s="224" t="s">
        <v>155</v>
      </c>
      <c r="L191" s="197" t="s">
        <v>155</v>
      </c>
      <c r="M191" s="225" t="s">
        <v>155</v>
      </c>
      <c r="N191" s="225" t="s">
        <v>155</v>
      </c>
      <c r="O191" s="225" t="s">
        <v>155</v>
      </c>
      <c r="P191" s="224" t="s">
        <v>155</v>
      </c>
      <c r="Q191" s="224" t="s">
        <v>155</v>
      </c>
      <c r="R191" s="197" t="s">
        <v>155</v>
      </c>
      <c r="S191" s="225" t="s">
        <v>155</v>
      </c>
      <c r="T191" s="225" t="s">
        <v>155</v>
      </c>
      <c r="U191" s="193" t="s">
        <v>155</v>
      </c>
      <c r="V191" s="193" t="s">
        <v>155</v>
      </c>
    </row>
    <row r="192" spans="1:22" x14ac:dyDescent="0.3">
      <c r="A192" s="99">
        <v>12</v>
      </c>
      <c r="B192" s="150" t="str">
        <f t="shared" si="14"/>
        <v xml:space="preserve">Exeter, Royal Devon and Exeter Hospital </v>
      </c>
      <c r="C192" s="99"/>
      <c r="D192" s="99"/>
      <c r="E192" s="52"/>
      <c r="F192" s="39"/>
      <c r="G192" s="224" t="s">
        <v>155</v>
      </c>
      <c r="H192" s="224" t="s">
        <v>155</v>
      </c>
      <c r="I192" s="224" t="s">
        <v>155</v>
      </c>
      <c r="J192" s="224" t="s">
        <v>155</v>
      </c>
      <c r="K192" s="224" t="s">
        <v>155</v>
      </c>
      <c r="L192" s="197" t="s">
        <v>155</v>
      </c>
      <c r="M192" s="225" t="s">
        <v>155</v>
      </c>
      <c r="N192" s="225" t="s">
        <v>155</v>
      </c>
      <c r="O192" s="225" t="s">
        <v>155</v>
      </c>
      <c r="P192" s="224" t="s">
        <v>155</v>
      </c>
      <c r="Q192" s="224" t="s">
        <v>155</v>
      </c>
      <c r="R192" s="197" t="s">
        <v>155</v>
      </c>
      <c r="S192" s="225" t="s">
        <v>155</v>
      </c>
      <c r="T192" s="225" t="s">
        <v>155</v>
      </c>
      <c r="U192" s="193" t="s">
        <v>155</v>
      </c>
      <c r="V192" s="193" t="s">
        <v>155</v>
      </c>
    </row>
    <row r="193" spans="1:22" x14ac:dyDescent="0.3">
      <c r="A193" s="99">
        <v>13</v>
      </c>
      <c r="B193" s="150" t="str">
        <f t="shared" si="14"/>
        <v>Gloucester, Gloucestershire Hospitals</v>
      </c>
      <c r="C193" s="99"/>
      <c r="D193" s="99"/>
      <c r="E193" s="52"/>
      <c r="F193" s="39"/>
      <c r="G193" s="224" t="s">
        <v>155</v>
      </c>
      <c r="H193" s="224" t="s">
        <v>155</v>
      </c>
      <c r="I193" s="224" t="s">
        <v>155</v>
      </c>
      <c r="J193" s="224" t="s">
        <v>155</v>
      </c>
      <c r="K193" s="224" t="s">
        <v>155</v>
      </c>
      <c r="L193" s="197" t="s">
        <v>155</v>
      </c>
      <c r="M193" s="225" t="s">
        <v>155</v>
      </c>
      <c r="N193" s="225" t="s">
        <v>155</v>
      </c>
      <c r="O193" s="225" t="s">
        <v>155</v>
      </c>
      <c r="P193" s="224" t="s">
        <v>155</v>
      </c>
      <c r="Q193" s="224" t="s">
        <v>155</v>
      </c>
      <c r="R193" s="197" t="s">
        <v>155</v>
      </c>
      <c r="S193" s="225" t="s">
        <v>155</v>
      </c>
      <c r="T193" s="225" t="s">
        <v>155</v>
      </c>
      <c r="U193" s="193" t="s">
        <v>155</v>
      </c>
      <c r="V193" s="193" t="s">
        <v>155</v>
      </c>
    </row>
    <row r="194" spans="1:22" x14ac:dyDescent="0.3">
      <c r="A194" s="99">
        <v>14</v>
      </c>
      <c r="B194" s="150" t="str">
        <f t="shared" si="14"/>
        <v xml:space="preserve">Plymouth, Derriford Hospital </v>
      </c>
      <c r="C194" s="99"/>
      <c r="D194" s="99"/>
      <c r="E194" s="52"/>
      <c r="F194" s="39"/>
      <c r="G194" s="224" t="s">
        <v>155</v>
      </c>
      <c r="H194" s="224" t="s">
        <v>155</v>
      </c>
      <c r="I194" s="224" t="s">
        <v>155</v>
      </c>
      <c r="J194" s="224" t="s">
        <v>155</v>
      </c>
      <c r="K194" s="224" t="s">
        <v>155</v>
      </c>
      <c r="L194" s="197" t="s">
        <v>155</v>
      </c>
      <c r="M194" s="225" t="s">
        <v>155</v>
      </c>
      <c r="N194" s="225" t="s">
        <v>155</v>
      </c>
      <c r="O194" s="225" t="s">
        <v>155</v>
      </c>
      <c r="P194" s="224" t="s">
        <v>155</v>
      </c>
      <c r="Q194" s="224" t="s">
        <v>155</v>
      </c>
      <c r="R194" s="197" t="s">
        <v>155</v>
      </c>
      <c r="S194" s="225" t="s">
        <v>155</v>
      </c>
      <c r="T194" s="225" t="s">
        <v>155</v>
      </c>
      <c r="U194" s="193" t="s">
        <v>155</v>
      </c>
      <c r="V194" s="193" t="s">
        <v>155</v>
      </c>
    </row>
    <row r="195" spans="1:22" x14ac:dyDescent="0.3">
      <c r="A195" s="99">
        <v>15</v>
      </c>
      <c r="B195" s="150" t="str">
        <f t="shared" si="14"/>
        <v xml:space="preserve">Swindon, Great Weston Hospital </v>
      </c>
      <c r="C195" s="99"/>
      <c r="D195" s="99"/>
      <c r="E195" s="52"/>
      <c r="F195" s="39"/>
      <c r="G195" s="224" t="s">
        <v>155</v>
      </c>
      <c r="H195" s="224" t="s">
        <v>155</v>
      </c>
      <c r="I195" s="224" t="s">
        <v>155</v>
      </c>
      <c r="J195" s="224" t="s">
        <v>155</v>
      </c>
      <c r="K195" s="224" t="s">
        <v>155</v>
      </c>
      <c r="L195" s="197" t="s">
        <v>155</v>
      </c>
      <c r="M195" s="225" t="s">
        <v>155</v>
      </c>
      <c r="N195" s="225" t="s">
        <v>155</v>
      </c>
      <c r="O195" s="225" t="s">
        <v>155</v>
      </c>
      <c r="P195" s="224" t="s">
        <v>155</v>
      </c>
      <c r="Q195" s="224" t="s">
        <v>155</v>
      </c>
      <c r="R195" s="197" t="s">
        <v>155</v>
      </c>
      <c r="S195" s="225" t="s">
        <v>155</v>
      </c>
      <c r="T195" s="225" t="s">
        <v>155</v>
      </c>
      <c r="U195" s="193" t="s">
        <v>155</v>
      </c>
      <c r="V195" s="193" t="s">
        <v>155</v>
      </c>
    </row>
    <row r="196" spans="1:22" x14ac:dyDescent="0.3">
      <c r="A196" s="99">
        <v>16</v>
      </c>
      <c r="B196" s="150" t="str">
        <f t="shared" si="14"/>
        <v xml:space="preserve">Taunton, Musgrove Park Hospital </v>
      </c>
      <c r="C196" s="99"/>
      <c r="D196" s="99"/>
      <c r="E196" s="52"/>
      <c r="F196" s="39"/>
      <c r="G196" s="224" t="s">
        <v>155</v>
      </c>
      <c r="H196" s="224" t="s">
        <v>155</v>
      </c>
      <c r="I196" s="224" t="s">
        <v>155</v>
      </c>
      <c r="J196" s="224" t="s">
        <v>155</v>
      </c>
      <c r="K196" s="224" t="s">
        <v>155</v>
      </c>
      <c r="L196" s="197" t="s">
        <v>155</v>
      </c>
      <c r="M196" s="225" t="s">
        <v>155</v>
      </c>
      <c r="N196" s="225" t="s">
        <v>155</v>
      </c>
      <c r="O196" s="225" t="s">
        <v>155</v>
      </c>
      <c r="P196" s="224" t="s">
        <v>155</v>
      </c>
      <c r="Q196" s="224" t="s">
        <v>155</v>
      </c>
      <c r="R196" s="197" t="s">
        <v>155</v>
      </c>
      <c r="S196" s="225" t="s">
        <v>155</v>
      </c>
      <c r="T196" s="225" t="s">
        <v>155</v>
      </c>
      <c r="U196" s="193" t="s">
        <v>155</v>
      </c>
      <c r="V196" s="193" t="s">
        <v>155</v>
      </c>
    </row>
    <row r="197" spans="1:22" x14ac:dyDescent="0.3">
      <c r="A197" s="99">
        <v>17</v>
      </c>
      <c r="B197" s="150" t="str">
        <f t="shared" si="14"/>
        <v xml:space="preserve">Torquay, Torbay General District Hospital </v>
      </c>
      <c r="G197" s="224" t="s">
        <v>155</v>
      </c>
      <c r="H197" s="224" t="s">
        <v>155</v>
      </c>
      <c r="I197" s="224" t="s">
        <v>155</v>
      </c>
      <c r="J197" s="224" t="s">
        <v>155</v>
      </c>
      <c r="K197" s="224" t="s">
        <v>155</v>
      </c>
      <c r="L197" s="197" t="s">
        <v>155</v>
      </c>
      <c r="M197" s="225" t="s">
        <v>155</v>
      </c>
      <c r="N197" s="225" t="s">
        <v>155</v>
      </c>
      <c r="O197" s="225" t="s">
        <v>155</v>
      </c>
      <c r="P197" s="224" t="s">
        <v>155</v>
      </c>
      <c r="Q197" s="224" t="s">
        <v>155</v>
      </c>
      <c r="R197" s="197" t="s">
        <v>155</v>
      </c>
      <c r="S197" s="225" t="s">
        <v>155</v>
      </c>
      <c r="T197" s="225" t="s">
        <v>155</v>
      </c>
      <c r="U197" s="193" t="s">
        <v>155</v>
      </c>
      <c r="V197" s="193" t="s">
        <v>155</v>
      </c>
    </row>
    <row r="198" spans="1:22" x14ac:dyDescent="0.3">
      <c r="A198" s="99">
        <v>18</v>
      </c>
      <c r="B198" s="153" t="str">
        <f t="shared" si="14"/>
        <v xml:space="preserve">Truro, Royal Cornwall Hospital </v>
      </c>
      <c r="C198" s="99"/>
      <c r="D198" s="99"/>
      <c r="E198" s="52"/>
      <c r="F198" s="39"/>
      <c r="G198" s="224" t="s">
        <v>155</v>
      </c>
      <c r="H198" s="224" t="s">
        <v>155</v>
      </c>
      <c r="I198" s="224" t="s">
        <v>155</v>
      </c>
      <c r="J198" s="224" t="s">
        <v>155</v>
      </c>
      <c r="K198" s="224" t="s">
        <v>155</v>
      </c>
      <c r="L198" s="197" t="s">
        <v>155</v>
      </c>
      <c r="M198" s="225" t="s">
        <v>155</v>
      </c>
      <c r="N198" s="225" t="s">
        <v>155</v>
      </c>
      <c r="O198" s="225" t="s">
        <v>155</v>
      </c>
      <c r="P198" s="224" t="s">
        <v>155</v>
      </c>
      <c r="Q198" s="224" t="s">
        <v>155</v>
      </c>
      <c r="R198" s="197" t="s">
        <v>155</v>
      </c>
      <c r="S198" s="225" t="s">
        <v>155</v>
      </c>
      <c r="T198" s="225" t="s">
        <v>155</v>
      </c>
      <c r="U198" s="193" t="s">
        <v>155</v>
      </c>
      <c r="V198" s="193" t="s">
        <v>155</v>
      </c>
    </row>
    <row r="199" spans="1:22" x14ac:dyDescent="0.3">
      <c r="C199" s="49"/>
      <c r="D199" s="49"/>
      <c r="E199" s="6">
        <f t="shared" ref="E199:V199" ca="1" si="15">OFFSET(E181,PaedChoice-1,0)</f>
        <v>0</v>
      </c>
      <c r="F199" s="6">
        <f t="shared" ca="1" si="15"/>
        <v>0</v>
      </c>
      <c r="G199" s="5" t="str">
        <f t="shared" ca="1" si="15"/>
        <v>No data</v>
      </c>
      <c r="H199" s="5" t="str">
        <f t="shared" ca="1" si="15"/>
        <v>No data</v>
      </c>
      <c r="I199" s="5" t="str">
        <f t="shared" ca="1" si="15"/>
        <v>No data</v>
      </c>
      <c r="J199" s="5" t="str">
        <f t="shared" ca="1" si="15"/>
        <v>No data</v>
      </c>
      <c r="K199" s="5" t="str">
        <f t="shared" ca="1" si="15"/>
        <v>No data</v>
      </c>
      <c r="L199" s="5" t="str">
        <f t="shared" ca="1" si="15"/>
        <v>No data</v>
      </c>
      <c r="M199" s="5" t="str">
        <f t="shared" ca="1" si="15"/>
        <v>No data</v>
      </c>
      <c r="N199" s="5" t="str">
        <f t="shared" ca="1" si="15"/>
        <v>No data</v>
      </c>
      <c r="O199" s="5" t="str">
        <f t="shared" ca="1" si="15"/>
        <v>No data</v>
      </c>
      <c r="P199" s="5" t="str">
        <f t="shared" ca="1" si="15"/>
        <v>No data</v>
      </c>
      <c r="Q199" s="5" t="str">
        <f t="shared" ca="1" si="15"/>
        <v>No data</v>
      </c>
      <c r="R199" s="5" t="str">
        <f t="shared" ca="1" si="15"/>
        <v>No data</v>
      </c>
      <c r="S199" s="5" t="str">
        <f t="shared" ca="1" si="15"/>
        <v>No data</v>
      </c>
      <c r="T199" s="5" t="str">
        <f t="shared" ca="1" si="15"/>
        <v>No data</v>
      </c>
      <c r="U199" s="241" t="str">
        <f t="shared" ca="1" si="15"/>
        <v>No data</v>
      </c>
      <c r="V199" s="241" t="str">
        <f t="shared" ca="1" si="15"/>
        <v>No data</v>
      </c>
    </row>
    <row r="200" spans="1:22" s="49" customFormat="1" x14ac:dyDescent="0.3">
      <c r="C200" s="56"/>
      <c r="D200" s="56"/>
      <c r="E200" s="56"/>
      <c r="F200" s="56"/>
    </row>
    <row r="201" spans="1:22" s="49" customFormat="1" x14ac:dyDescent="0.3">
      <c r="C201" s="56"/>
      <c r="D201" s="56"/>
      <c r="E201" s="56"/>
      <c r="F201" s="56"/>
    </row>
    <row r="202" spans="1:22" s="49" customFormat="1" x14ac:dyDescent="0.3">
      <c r="C202" s="56"/>
      <c r="D202" s="56"/>
      <c r="E202" s="56"/>
      <c r="F202" s="56"/>
    </row>
  </sheetData>
  <mergeCells count="104">
    <mergeCell ref="I104:T104"/>
    <mergeCell ref="G104:H104"/>
    <mergeCell ref="U104:V104"/>
    <mergeCell ref="U105:U106"/>
    <mergeCell ref="V105:V106"/>
    <mergeCell ref="U55:U56"/>
    <mergeCell ref="V55:V56"/>
    <mergeCell ref="G105:G106"/>
    <mergeCell ref="H105:H106"/>
    <mergeCell ref="I78:T78"/>
    <mergeCell ref="I79:N79"/>
    <mergeCell ref="O79:T79"/>
    <mergeCell ref="H79:H80"/>
    <mergeCell ref="U79:U80"/>
    <mergeCell ref="V79:V80"/>
    <mergeCell ref="I105:N105"/>
    <mergeCell ref="O105:T105"/>
    <mergeCell ref="U28:V28"/>
    <mergeCell ref="H29:H30"/>
    <mergeCell ref="U29:U30"/>
    <mergeCell ref="V29:V30"/>
    <mergeCell ref="U54:V54"/>
    <mergeCell ref="D78:D80"/>
    <mergeCell ref="F78:F80"/>
    <mergeCell ref="E54:E56"/>
    <mergeCell ref="G54:H54"/>
    <mergeCell ref="G55:G56"/>
    <mergeCell ref="E28:E30"/>
    <mergeCell ref="G28:H28"/>
    <mergeCell ref="H55:H56"/>
    <mergeCell ref="F28:F30"/>
    <mergeCell ref="I28:T28"/>
    <mergeCell ref="I29:N29"/>
    <mergeCell ref="O29:T29"/>
    <mergeCell ref="F54:F56"/>
    <mergeCell ref="I54:T54"/>
    <mergeCell ref="I55:N55"/>
    <mergeCell ref="O55:T55"/>
    <mergeCell ref="G29:G30"/>
    <mergeCell ref="U78:V78"/>
    <mergeCell ref="G79:G80"/>
    <mergeCell ref="C4:C6"/>
    <mergeCell ref="E4:E6"/>
    <mergeCell ref="U5:U6"/>
    <mergeCell ref="U4:V4"/>
    <mergeCell ref="D4:D6"/>
    <mergeCell ref="F4:F6"/>
    <mergeCell ref="I5:N5"/>
    <mergeCell ref="O5:T5"/>
    <mergeCell ref="I4:T4"/>
    <mergeCell ref="G4:H4"/>
    <mergeCell ref="V5:V6"/>
    <mergeCell ref="G5:G6"/>
    <mergeCell ref="H5:H6"/>
    <mergeCell ref="V155:V156"/>
    <mergeCell ref="U128:V128"/>
    <mergeCell ref="U129:U130"/>
    <mergeCell ref="U178:V178"/>
    <mergeCell ref="U179:U180"/>
    <mergeCell ref="V179:V180"/>
    <mergeCell ref="I154:T154"/>
    <mergeCell ref="I155:N155"/>
    <mergeCell ref="O155:T155"/>
    <mergeCell ref="V129:V130"/>
    <mergeCell ref="I128:T128"/>
    <mergeCell ref="I129:N129"/>
    <mergeCell ref="O129:T129"/>
    <mergeCell ref="I178:T178"/>
    <mergeCell ref="I179:N179"/>
    <mergeCell ref="O179:T179"/>
    <mergeCell ref="U154:V154"/>
    <mergeCell ref="U155:U156"/>
    <mergeCell ref="C28:C30"/>
    <mergeCell ref="D28:D30"/>
    <mergeCell ref="D54:D56"/>
    <mergeCell ref="C54:C56"/>
    <mergeCell ref="C104:C106"/>
    <mergeCell ref="E104:E106"/>
    <mergeCell ref="D104:D106"/>
    <mergeCell ref="F104:F106"/>
    <mergeCell ref="D128:D130"/>
    <mergeCell ref="F128:F130"/>
    <mergeCell ref="E78:E80"/>
    <mergeCell ref="C128:C130"/>
    <mergeCell ref="E128:E130"/>
    <mergeCell ref="C178:C180"/>
    <mergeCell ref="C78:C80"/>
    <mergeCell ref="G179:G180"/>
    <mergeCell ref="H179:H180"/>
    <mergeCell ref="D154:D156"/>
    <mergeCell ref="F154:F156"/>
    <mergeCell ref="D178:D180"/>
    <mergeCell ref="F178:F180"/>
    <mergeCell ref="G78:H78"/>
    <mergeCell ref="C154:C156"/>
    <mergeCell ref="G155:G156"/>
    <mergeCell ref="H155:H156"/>
    <mergeCell ref="G129:G130"/>
    <mergeCell ref="H129:H130"/>
    <mergeCell ref="E178:E180"/>
    <mergeCell ref="G178:H178"/>
    <mergeCell ref="G128:H128"/>
    <mergeCell ref="E154:E156"/>
    <mergeCell ref="G154:H15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P111"/>
  <sheetViews>
    <sheetView topLeftCell="A11" zoomScale="90" zoomScaleNormal="90" workbookViewId="0">
      <selection activeCell="R96" sqref="R96"/>
    </sheetView>
  </sheetViews>
  <sheetFormatPr defaultColWidth="8.6640625" defaultRowHeight="14.4" x14ac:dyDescent="0.3"/>
  <cols>
    <col min="1" max="16" width="12.33203125" style="33" customWidth="1"/>
    <col min="17" max="16384" width="8.6640625" style="33"/>
  </cols>
  <sheetData>
    <row r="1" spans="1:12" ht="23.4" x14ac:dyDescent="0.45">
      <c r="B1" s="167" t="s">
        <v>151</v>
      </c>
    </row>
    <row r="3" spans="1:12" x14ac:dyDescent="0.3">
      <c r="A3" s="198"/>
      <c r="B3" s="34" t="s">
        <v>147</v>
      </c>
      <c r="E3" s="198"/>
    </row>
    <row r="4" spans="1:12" x14ac:dyDescent="0.3">
      <c r="A4" s="198"/>
      <c r="B4" s="34" t="s">
        <v>148</v>
      </c>
      <c r="E4" s="198"/>
    </row>
    <row r="5" spans="1:12" x14ac:dyDescent="0.3">
      <c r="A5" s="198"/>
      <c r="B5" s="34" t="s">
        <v>149</v>
      </c>
      <c r="E5" s="198"/>
    </row>
    <row r="6" spans="1:12" s="102" customFormat="1" ht="21" x14ac:dyDescent="0.4">
      <c r="A6" s="199"/>
      <c r="B6" s="101" t="s">
        <v>106</v>
      </c>
      <c r="E6" s="199"/>
    </row>
    <row r="7" spans="1:12" s="104" customFormat="1" ht="43.5" customHeight="1" x14ac:dyDescent="0.4">
      <c r="A7" s="200"/>
      <c r="B7" s="105" t="s">
        <v>156</v>
      </c>
      <c r="E7" s="200"/>
    </row>
    <row r="8" spans="1:12" x14ac:dyDescent="0.3">
      <c r="B8" s="34" t="s">
        <v>185</v>
      </c>
      <c r="H8" s="198"/>
      <c r="I8" s="201" t="s">
        <v>53</v>
      </c>
      <c r="J8" s="198"/>
      <c r="K8" s="198"/>
      <c r="L8" s="198"/>
    </row>
    <row r="9" spans="1:12" ht="28.8" x14ac:dyDescent="0.3">
      <c r="A9" s="143"/>
      <c r="B9" s="156"/>
      <c r="C9" s="148" t="s">
        <v>9</v>
      </c>
      <c r="D9" s="148" t="s">
        <v>17</v>
      </c>
      <c r="E9" s="149" t="s">
        <v>33</v>
      </c>
      <c r="H9" s="143"/>
      <c r="I9" s="139"/>
      <c r="J9" s="148" t="s">
        <v>9</v>
      </c>
      <c r="K9" s="148" t="s">
        <v>17</v>
      </c>
      <c r="L9" s="149" t="s">
        <v>33</v>
      </c>
    </row>
    <row r="10" spans="1:12" x14ac:dyDescent="0.3">
      <c r="A10" s="144">
        <v>6</v>
      </c>
      <c r="B10" s="150" t="s">
        <v>165</v>
      </c>
      <c r="C10" s="151" t="e">
        <f t="shared" ref="C10:C27" si="0">IF(INDEX(Q1_Paeds,4+$A10,7)="No data",NA(),INDEX(Q1_Paeds,4+$A10,7))</f>
        <v>#N/A</v>
      </c>
      <c r="D10" s="151" t="e">
        <f t="shared" ref="D10:D27" si="1">IF(INDEX(Q1_Paeds,4+$A10,8)="No data",NA(),INDEX(Q1_Paeds,4+$A10,8))</f>
        <v>#N/A</v>
      </c>
      <c r="E10" s="152" t="e">
        <f t="shared" ref="E10:E27" si="2">MAX(C10:D10)</f>
        <v>#N/A</v>
      </c>
      <c r="H10" s="144">
        <v>2</v>
      </c>
      <c r="I10" s="150" t="s">
        <v>158</v>
      </c>
      <c r="J10" s="151" t="e">
        <f t="shared" ref="J10:J26" si="3">IF(INDEX(Q1_Adult,4+$H10,7)="No data",NA(),INDEX(Q1_Adult,4+$H10,7))</f>
        <v>#N/A</v>
      </c>
      <c r="K10" s="151" t="e">
        <f t="shared" ref="K10:K26" si="4">IF(INDEX(Q1_Adult,4+$H10,8)="No data",NA(),INDEX(Q1_Adult,4+$H10,8))</f>
        <v>#N/A</v>
      </c>
      <c r="L10" s="152" t="e">
        <f t="shared" ref="L10:L26" si="5">MAX(J10:K10)</f>
        <v>#N/A</v>
      </c>
    </row>
    <row r="11" spans="1:12" x14ac:dyDescent="0.3">
      <c r="A11" s="144">
        <v>9</v>
      </c>
      <c r="B11" s="150" t="s">
        <v>58</v>
      </c>
      <c r="C11" s="151" t="e">
        <f t="shared" si="0"/>
        <v>#N/A</v>
      </c>
      <c r="D11" s="151" t="e">
        <f t="shared" si="1"/>
        <v>#N/A</v>
      </c>
      <c r="E11" s="152" t="e">
        <f t="shared" si="2"/>
        <v>#N/A</v>
      </c>
      <c r="H11" s="144">
        <v>11</v>
      </c>
      <c r="I11" s="150" t="s">
        <v>60</v>
      </c>
      <c r="J11" s="151" t="e">
        <f t="shared" si="3"/>
        <v>#N/A</v>
      </c>
      <c r="K11" s="151" t="e">
        <f t="shared" si="4"/>
        <v>#N/A</v>
      </c>
      <c r="L11" s="152" t="e">
        <f t="shared" si="5"/>
        <v>#N/A</v>
      </c>
    </row>
    <row r="12" spans="1:12" x14ac:dyDescent="0.3">
      <c r="A12" s="144">
        <v>14</v>
      </c>
      <c r="B12" s="150" t="s">
        <v>61</v>
      </c>
      <c r="C12" s="151" t="e">
        <f t="shared" si="0"/>
        <v>#N/A</v>
      </c>
      <c r="D12" s="151" t="e">
        <f t="shared" si="1"/>
        <v>#N/A</v>
      </c>
      <c r="E12" s="152" t="e">
        <f t="shared" si="2"/>
        <v>#N/A</v>
      </c>
      <c r="H12" s="144">
        <v>13</v>
      </c>
      <c r="I12" s="150" t="s">
        <v>61</v>
      </c>
      <c r="J12" s="151" t="e">
        <f t="shared" si="3"/>
        <v>#N/A</v>
      </c>
      <c r="K12" s="151" t="e">
        <f t="shared" si="4"/>
        <v>#N/A</v>
      </c>
      <c r="L12" s="152" t="e">
        <f t="shared" si="5"/>
        <v>#N/A</v>
      </c>
    </row>
    <row r="13" spans="1:12" x14ac:dyDescent="0.3">
      <c r="A13" s="144">
        <v>18</v>
      </c>
      <c r="B13" s="150" t="s">
        <v>62</v>
      </c>
      <c r="C13" s="151" t="e">
        <f t="shared" si="0"/>
        <v>#N/A</v>
      </c>
      <c r="D13" s="151" t="e">
        <f t="shared" si="1"/>
        <v>#N/A</v>
      </c>
      <c r="E13" s="152" t="e">
        <f t="shared" si="2"/>
        <v>#N/A</v>
      </c>
      <c r="H13" s="144">
        <v>14</v>
      </c>
      <c r="I13" s="150" t="s">
        <v>52</v>
      </c>
      <c r="J13" s="151" t="e">
        <f t="shared" si="3"/>
        <v>#N/A</v>
      </c>
      <c r="K13" s="151" t="e">
        <f t="shared" si="4"/>
        <v>#N/A</v>
      </c>
      <c r="L13" s="152" t="e">
        <f t="shared" si="5"/>
        <v>#N/A</v>
      </c>
    </row>
    <row r="14" spans="1:12" x14ac:dyDescent="0.3">
      <c r="A14" s="144">
        <v>3</v>
      </c>
      <c r="B14" s="150" t="s">
        <v>159</v>
      </c>
      <c r="C14" s="151">
        <f t="shared" si="0"/>
        <v>0</v>
      </c>
      <c r="D14" s="151">
        <f t="shared" si="1"/>
        <v>0</v>
      </c>
      <c r="E14" s="152">
        <f t="shared" si="2"/>
        <v>0</v>
      </c>
      <c r="H14" s="144">
        <v>17</v>
      </c>
      <c r="I14" s="150" t="s">
        <v>62</v>
      </c>
      <c r="J14" s="151" t="e">
        <f t="shared" si="3"/>
        <v>#N/A</v>
      </c>
      <c r="K14" s="151" t="e">
        <f t="shared" si="4"/>
        <v>#N/A</v>
      </c>
      <c r="L14" s="152" t="e">
        <f t="shared" si="5"/>
        <v>#N/A</v>
      </c>
    </row>
    <row r="15" spans="1:12" x14ac:dyDescent="0.3">
      <c r="A15" s="144">
        <v>15</v>
      </c>
      <c r="B15" s="150" t="s">
        <v>52</v>
      </c>
      <c r="C15" s="151">
        <f t="shared" si="0"/>
        <v>0</v>
      </c>
      <c r="D15" s="151">
        <f t="shared" si="1"/>
        <v>0</v>
      </c>
      <c r="E15" s="152">
        <f t="shared" si="2"/>
        <v>0</v>
      </c>
      <c r="H15" s="144">
        <v>16</v>
      </c>
      <c r="I15" s="150" t="s">
        <v>54</v>
      </c>
      <c r="J15" s="151">
        <f t="shared" si="3"/>
        <v>0</v>
      </c>
      <c r="K15" s="151">
        <f t="shared" si="4"/>
        <v>0</v>
      </c>
      <c r="L15" s="152">
        <f t="shared" si="5"/>
        <v>0</v>
      </c>
    </row>
    <row r="16" spans="1:12" x14ac:dyDescent="0.3">
      <c r="A16" s="144">
        <v>17</v>
      </c>
      <c r="B16" s="150" t="s">
        <v>54</v>
      </c>
      <c r="C16" s="151">
        <f t="shared" si="0"/>
        <v>4</v>
      </c>
      <c r="D16" s="151">
        <f t="shared" si="1"/>
        <v>4</v>
      </c>
      <c r="E16" s="152">
        <f t="shared" si="2"/>
        <v>4</v>
      </c>
      <c r="H16" s="144">
        <v>1</v>
      </c>
      <c r="I16" s="150" t="s">
        <v>157</v>
      </c>
      <c r="J16" s="151">
        <f t="shared" si="3"/>
        <v>0</v>
      </c>
      <c r="K16" s="151">
        <f t="shared" si="4"/>
        <v>0</v>
      </c>
      <c r="L16" s="152">
        <f t="shared" si="5"/>
        <v>0</v>
      </c>
    </row>
    <row r="17" spans="1:16" x14ac:dyDescent="0.3">
      <c r="A17" s="144">
        <v>13</v>
      </c>
      <c r="B17" s="150" t="s">
        <v>56</v>
      </c>
      <c r="C17" s="151">
        <f t="shared" si="0"/>
        <v>10.9</v>
      </c>
      <c r="D17" s="151">
        <f t="shared" si="1"/>
        <v>5.4</v>
      </c>
      <c r="E17" s="152">
        <f t="shared" si="2"/>
        <v>10.9</v>
      </c>
      <c r="H17" s="144">
        <v>3</v>
      </c>
      <c r="I17" s="150" t="s">
        <v>159</v>
      </c>
      <c r="J17" s="151">
        <f t="shared" si="3"/>
        <v>0</v>
      </c>
      <c r="K17" s="151">
        <f t="shared" si="4"/>
        <v>0</v>
      </c>
      <c r="L17" s="152">
        <f t="shared" si="5"/>
        <v>0</v>
      </c>
    </row>
    <row r="18" spans="1:16" x14ac:dyDescent="0.3">
      <c r="A18" s="144">
        <v>1</v>
      </c>
      <c r="B18" s="150" t="s">
        <v>157</v>
      </c>
      <c r="C18" s="151">
        <f t="shared" si="0"/>
        <v>12</v>
      </c>
      <c r="D18" s="151">
        <f t="shared" si="1"/>
        <v>13</v>
      </c>
      <c r="E18" s="152">
        <f t="shared" si="2"/>
        <v>13</v>
      </c>
      <c r="H18" s="144">
        <v>4</v>
      </c>
      <c r="I18" s="150" t="s">
        <v>160</v>
      </c>
      <c r="J18" s="151">
        <f t="shared" si="3"/>
        <v>0</v>
      </c>
      <c r="K18" s="151">
        <f t="shared" si="4"/>
        <v>0</v>
      </c>
      <c r="L18" s="152">
        <f t="shared" si="5"/>
        <v>0</v>
      </c>
    </row>
    <row r="19" spans="1:16" x14ac:dyDescent="0.3">
      <c r="A19" s="144">
        <v>2</v>
      </c>
      <c r="B19" s="150" t="s">
        <v>158</v>
      </c>
      <c r="C19" s="151">
        <f t="shared" si="0"/>
        <v>14</v>
      </c>
      <c r="D19" s="151">
        <f t="shared" si="1"/>
        <v>0</v>
      </c>
      <c r="E19" s="152">
        <f t="shared" si="2"/>
        <v>14</v>
      </c>
      <c r="H19" s="144">
        <v>5</v>
      </c>
      <c r="I19" s="150" t="s">
        <v>161</v>
      </c>
      <c r="J19" s="151">
        <f t="shared" si="3"/>
        <v>0</v>
      </c>
      <c r="K19" s="151">
        <f t="shared" si="4"/>
        <v>0</v>
      </c>
      <c r="L19" s="152">
        <f t="shared" si="5"/>
        <v>0</v>
      </c>
    </row>
    <row r="20" spans="1:16" x14ac:dyDescent="0.3">
      <c r="A20" s="144">
        <v>4</v>
      </c>
      <c r="B20" s="150" t="s">
        <v>160</v>
      </c>
      <c r="C20" s="151">
        <f t="shared" si="0"/>
        <v>15</v>
      </c>
      <c r="D20" s="151">
        <f t="shared" si="1"/>
        <v>0</v>
      </c>
      <c r="E20" s="152">
        <f t="shared" si="2"/>
        <v>15</v>
      </c>
      <c r="H20" s="144">
        <v>7</v>
      </c>
      <c r="I20" s="150" t="s">
        <v>166</v>
      </c>
      <c r="J20" s="151">
        <f t="shared" si="3"/>
        <v>0</v>
      </c>
      <c r="K20" s="151">
        <f t="shared" si="4"/>
        <v>0</v>
      </c>
      <c r="L20" s="152">
        <f t="shared" si="5"/>
        <v>0</v>
      </c>
    </row>
    <row r="21" spans="1:16" x14ac:dyDescent="0.3">
      <c r="A21" s="144">
        <v>7</v>
      </c>
      <c r="B21" s="150" t="s">
        <v>166</v>
      </c>
      <c r="C21" s="151">
        <f t="shared" si="0"/>
        <v>11</v>
      </c>
      <c r="D21" s="151">
        <f t="shared" si="1"/>
        <v>15</v>
      </c>
      <c r="E21" s="152">
        <f t="shared" si="2"/>
        <v>15</v>
      </c>
      <c r="H21" s="144">
        <v>15</v>
      </c>
      <c r="I21" s="150" t="s">
        <v>57</v>
      </c>
      <c r="J21" s="151">
        <f t="shared" si="3"/>
        <v>4</v>
      </c>
      <c r="K21" s="151">
        <f t="shared" si="4"/>
        <v>12</v>
      </c>
      <c r="L21" s="152">
        <f t="shared" si="5"/>
        <v>12</v>
      </c>
      <c r="P21" s="33" t="s">
        <v>55</v>
      </c>
    </row>
    <row r="22" spans="1:16" x14ac:dyDescent="0.3">
      <c r="A22" s="144">
        <v>12</v>
      </c>
      <c r="B22" s="150" t="s">
        <v>60</v>
      </c>
      <c r="C22" s="151">
        <f t="shared" si="0"/>
        <v>15</v>
      </c>
      <c r="D22" s="151">
        <f t="shared" si="1"/>
        <v>8</v>
      </c>
      <c r="E22" s="152">
        <f t="shared" si="2"/>
        <v>15</v>
      </c>
      <c r="H22" s="144">
        <v>6</v>
      </c>
      <c r="I22" s="150" t="s">
        <v>165</v>
      </c>
      <c r="J22" s="151">
        <f t="shared" si="3"/>
        <v>0</v>
      </c>
      <c r="K22" s="151">
        <f t="shared" si="4"/>
        <v>13</v>
      </c>
      <c r="L22" s="152">
        <f t="shared" si="5"/>
        <v>13</v>
      </c>
    </row>
    <row r="23" spans="1:16" x14ac:dyDescent="0.3">
      <c r="A23" s="144">
        <v>5</v>
      </c>
      <c r="B23" s="150" t="s">
        <v>161</v>
      </c>
      <c r="C23" s="151">
        <f t="shared" si="0"/>
        <v>16</v>
      </c>
      <c r="D23" s="151">
        <f t="shared" si="1"/>
        <v>15</v>
      </c>
      <c r="E23" s="152">
        <f t="shared" si="2"/>
        <v>16</v>
      </c>
      <c r="H23" s="144">
        <v>12</v>
      </c>
      <c r="I23" s="150" t="s">
        <v>56</v>
      </c>
      <c r="J23" s="151">
        <f t="shared" si="3"/>
        <v>13</v>
      </c>
      <c r="K23" s="151">
        <f t="shared" si="4"/>
        <v>13</v>
      </c>
      <c r="L23" s="152">
        <f t="shared" si="5"/>
        <v>13</v>
      </c>
    </row>
    <row r="24" spans="1:16" x14ac:dyDescent="0.3">
      <c r="A24" s="144">
        <v>8</v>
      </c>
      <c r="B24" s="150" t="s">
        <v>162</v>
      </c>
      <c r="C24" s="151">
        <f t="shared" si="0"/>
        <v>8.48</v>
      </c>
      <c r="D24" s="151">
        <f t="shared" si="1"/>
        <v>26.67</v>
      </c>
      <c r="E24" s="152">
        <f t="shared" si="2"/>
        <v>26.67</v>
      </c>
      <c r="H24" s="144">
        <v>10</v>
      </c>
      <c r="I24" s="150" t="s">
        <v>212</v>
      </c>
      <c r="J24" s="151">
        <f t="shared" si="3"/>
        <v>22</v>
      </c>
      <c r="K24" s="151" t="str">
        <f t="shared" si="4"/>
        <v>N/A</v>
      </c>
      <c r="L24" s="152">
        <f t="shared" si="5"/>
        <v>22</v>
      </c>
    </row>
    <row r="25" spans="1:16" x14ac:dyDescent="0.3">
      <c r="A25" s="144">
        <v>10</v>
      </c>
      <c r="B25" s="150" t="s">
        <v>59</v>
      </c>
      <c r="C25" s="151">
        <f t="shared" si="0"/>
        <v>28</v>
      </c>
      <c r="D25" s="151">
        <f t="shared" si="1"/>
        <v>8</v>
      </c>
      <c r="E25" s="152">
        <f t="shared" si="2"/>
        <v>28</v>
      </c>
      <c r="H25" s="144">
        <v>9</v>
      </c>
      <c r="I25" s="150" t="s">
        <v>58</v>
      </c>
      <c r="J25" s="151">
        <f t="shared" si="3"/>
        <v>27</v>
      </c>
      <c r="K25" s="151">
        <f t="shared" si="4"/>
        <v>27</v>
      </c>
      <c r="L25" s="152">
        <f t="shared" si="5"/>
        <v>27</v>
      </c>
    </row>
    <row r="26" spans="1:16" x14ac:dyDescent="0.3">
      <c r="A26" s="144">
        <v>16</v>
      </c>
      <c r="B26" s="150" t="s">
        <v>57</v>
      </c>
      <c r="C26" s="151">
        <f t="shared" si="0"/>
        <v>44</v>
      </c>
      <c r="D26" s="151">
        <f t="shared" si="1"/>
        <v>44</v>
      </c>
      <c r="E26" s="152">
        <f t="shared" si="2"/>
        <v>44</v>
      </c>
      <c r="H26" s="145">
        <v>8</v>
      </c>
      <c r="I26" s="153" t="s">
        <v>162</v>
      </c>
      <c r="J26" s="154">
        <f t="shared" si="3"/>
        <v>93</v>
      </c>
      <c r="K26" s="154">
        <f t="shared" si="4"/>
        <v>0</v>
      </c>
      <c r="L26" s="155">
        <f t="shared" si="5"/>
        <v>93</v>
      </c>
    </row>
    <row r="27" spans="1:16" x14ac:dyDescent="0.3">
      <c r="A27" s="145">
        <v>11</v>
      </c>
      <c r="B27" s="153" t="s">
        <v>211</v>
      </c>
      <c r="C27" s="154">
        <f t="shared" si="0"/>
        <v>78</v>
      </c>
      <c r="D27" s="154">
        <f t="shared" si="1"/>
        <v>0</v>
      </c>
      <c r="E27" s="155">
        <f t="shared" si="2"/>
        <v>78</v>
      </c>
    </row>
    <row r="31" spans="1:16" s="103" customFormat="1" ht="18" x14ac:dyDescent="0.35">
      <c r="B31" s="103" t="s">
        <v>107</v>
      </c>
    </row>
    <row r="32" spans="1:16" s="104" customFormat="1" ht="43.5" customHeight="1" x14ac:dyDescent="0.4">
      <c r="B32" s="105" t="s">
        <v>156</v>
      </c>
    </row>
    <row r="33" spans="1:13" x14ac:dyDescent="0.3">
      <c r="B33" s="46"/>
      <c r="C33" s="16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5" customHeight="1" x14ac:dyDescent="0.3">
      <c r="A34" s="42"/>
      <c r="B34" s="135" t="s">
        <v>72</v>
      </c>
      <c r="C34" s="42"/>
      <c r="D34" s="42"/>
      <c r="E34" s="42"/>
      <c r="F34" s="135"/>
      <c r="G34" s="135"/>
      <c r="H34" s="46"/>
      <c r="I34" s="135" t="s">
        <v>70</v>
      </c>
      <c r="J34" s="137"/>
      <c r="K34" s="138"/>
      <c r="L34" s="138"/>
      <c r="M34" s="138"/>
    </row>
    <row r="35" spans="1:13" x14ac:dyDescent="0.3">
      <c r="A35" s="143"/>
      <c r="B35" s="139"/>
      <c r="C35" s="139" t="s">
        <v>93</v>
      </c>
      <c r="D35" s="139" t="s">
        <v>94</v>
      </c>
      <c r="E35" s="139" t="s">
        <v>36</v>
      </c>
      <c r="F35" s="140" t="s">
        <v>181</v>
      </c>
      <c r="G35" s="135"/>
      <c r="H35" s="143"/>
      <c r="I35" s="139"/>
      <c r="J35" s="139" t="s">
        <v>93</v>
      </c>
      <c r="K35" s="139" t="s">
        <v>94</v>
      </c>
      <c r="L35" s="139" t="s">
        <v>36</v>
      </c>
      <c r="M35" s="140" t="s">
        <v>181</v>
      </c>
    </row>
    <row r="36" spans="1:13" x14ac:dyDescent="0.3">
      <c r="A36" s="144">
        <v>6</v>
      </c>
      <c r="B36" s="150" t="s">
        <v>165</v>
      </c>
      <c r="C36" s="151" t="e">
        <f t="shared" ref="C36:C53" si="6">IF(INDEX(Q1_Paeds,4+$A36,10)="No data",NA(),INDEX(Q1_Paeds,4+$A36,10))</f>
        <v>#N/A</v>
      </c>
      <c r="D36" s="151" t="e">
        <f t="shared" ref="D36:D53" si="7">IF(INDEX(Q1_Paeds,4+$A36,11)="No data",NA(),INDEX(Q1_Paeds,4+$A36,11))</f>
        <v>#N/A</v>
      </c>
      <c r="E36" s="151" t="e">
        <f t="shared" ref="E36:E53" si="8">IF(INDEX(Q1_Paeds,4+$A36,12)="No data",NA(),INDEX(Q1_Paeds,4+$A36,12))</f>
        <v>#N/A</v>
      </c>
      <c r="F36" s="141" t="e">
        <f t="shared" ref="F36:F53" si="9">SUM(C36:E36)</f>
        <v>#N/A</v>
      </c>
      <c r="G36" s="136"/>
      <c r="H36" s="144">
        <v>2</v>
      </c>
      <c r="I36" s="150" t="s">
        <v>158</v>
      </c>
      <c r="J36" s="151" t="e">
        <f t="shared" ref="J36:J52" si="10">IF(INDEX(Q1_Adult,4+$H36,10)="No data",NA(),INDEX(Q1_Adult,4+$H36,10))</f>
        <v>#N/A</v>
      </c>
      <c r="K36" s="151" t="e">
        <f t="shared" ref="K36:K52" si="11">IF(INDEX(Q1_Adult,4+$H36,11)="No data",NA(),INDEX(Q1_Adult,4+$H36,11))</f>
        <v>#N/A</v>
      </c>
      <c r="L36" s="151" t="e">
        <f t="shared" ref="L36:L52" si="12">IF(INDEX(Q1_Adult,4+$H36,12)="No data",NA(),INDEX(Q1_Adult,4+$H36,12))</f>
        <v>#N/A</v>
      </c>
      <c r="M36" s="141" t="e">
        <f t="shared" ref="M36:M52" si="13">SUM(J36:L36)</f>
        <v>#N/A</v>
      </c>
    </row>
    <row r="37" spans="1:13" x14ac:dyDescent="0.3">
      <c r="A37" s="144">
        <v>9</v>
      </c>
      <c r="B37" s="150" t="s">
        <v>58</v>
      </c>
      <c r="C37" s="151" t="e">
        <f t="shared" si="6"/>
        <v>#N/A</v>
      </c>
      <c r="D37" s="151" t="e">
        <f t="shared" si="7"/>
        <v>#N/A</v>
      </c>
      <c r="E37" s="151" t="e">
        <f t="shared" si="8"/>
        <v>#N/A</v>
      </c>
      <c r="F37" s="141" t="e">
        <f t="shared" si="9"/>
        <v>#N/A</v>
      </c>
      <c r="G37" s="136"/>
      <c r="H37" s="144">
        <v>11</v>
      </c>
      <c r="I37" s="150" t="s">
        <v>60</v>
      </c>
      <c r="J37" s="151" t="e">
        <f t="shared" si="10"/>
        <v>#N/A</v>
      </c>
      <c r="K37" s="151" t="e">
        <f t="shared" si="11"/>
        <v>#N/A</v>
      </c>
      <c r="L37" s="151" t="e">
        <f t="shared" si="12"/>
        <v>#N/A</v>
      </c>
      <c r="M37" s="141" t="e">
        <f t="shared" si="13"/>
        <v>#N/A</v>
      </c>
    </row>
    <row r="38" spans="1:13" x14ac:dyDescent="0.3">
      <c r="A38" s="144">
        <v>14</v>
      </c>
      <c r="B38" s="150" t="s">
        <v>61</v>
      </c>
      <c r="C38" s="151" t="e">
        <f t="shared" si="6"/>
        <v>#N/A</v>
      </c>
      <c r="D38" s="151" t="e">
        <f t="shared" si="7"/>
        <v>#N/A</v>
      </c>
      <c r="E38" s="151" t="e">
        <f t="shared" si="8"/>
        <v>#N/A</v>
      </c>
      <c r="F38" s="141" t="e">
        <f t="shared" si="9"/>
        <v>#N/A</v>
      </c>
      <c r="G38" s="136"/>
      <c r="H38" s="144">
        <v>13</v>
      </c>
      <c r="I38" s="150" t="s">
        <v>61</v>
      </c>
      <c r="J38" s="151" t="e">
        <f t="shared" si="10"/>
        <v>#N/A</v>
      </c>
      <c r="K38" s="151" t="e">
        <f t="shared" si="11"/>
        <v>#N/A</v>
      </c>
      <c r="L38" s="151" t="e">
        <f t="shared" si="12"/>
        <v>#N/A</v>
      </c>
      <c r="M38" s="141" t="e">
        <f t="shared" si="13"/>
        <v>#N/A</v>
      </c>
    </row>
    <row r="39" spans="1:13" x14ac:dyDescent="0.3">
      <c r="A39" s="144">
        <v>18</v>
      </c>
      <c r="B39" s="150" t="s">
        <v>62</v>
      </c>
      <c r="C39" s="151" t="e">
        <f t="shared" si="6"/>
        <v>#N/A</v>
      </c>
      <c r="D39" s="151" t="e">
        <f t="shared" si="7"/>
        <v>#N/A</v>
      </c>
      <c r="E39" s="151" t="e">
        <f t="shared" si="8"/>
        <v>#N/A</v>
      </c>
      <c r="F39" s="141" t="e">
        <f t="shared" si="9"/>
        <v>#N/A</v>
      </c>
      <c r="G39" s="136"/>
      <c r="H39" s="144">
        <v>14</v>
      </c>
      <c r="I39" s="150" t="s">
        <v>52</v>
      </c>
      <c r="J39" s="151" t="e">
        <f t="shared" si="10"/>
        <v>#N/A</v>
      </c>
      <c r="K39" s="151" t="e">
        <f t="shared" si="11"/>
        <v>#N/A</v>
      </c>
      <c r="L39" s="151" t="e">
        <f t="shared" si="12"/>
        <v>#N/A</v>
      </c>
      <c r="M39" s="141" t="e">
        <f t="shared" si="13"/>
        <v>#N/A</v>
      </c>
    </row>
    <row r="40" spans="1:13" x14ac:dyDescent="0.3">
      <c r="A40" s="144">
        <v>3</v>
      </c>
      <c r="B40" s="150" t="s">
        <v>159</v>
      </c>
      <c r="C40" s="151">
        <f t="shared" si="6"/>
        <v>0</v>
      </c>
      <c r="D40" s="151">
        <f t="shared" si="7"/>
        <v>0</v>
      </c>
      <c r="E40" s="151">
        <f t="shared" si="8"/>
        <v>0</v>
      </c>
      <c r="F40" s="141">
        <f t="shared" si="9"/>
        <v>0</v>
      </c>
      <c r="G40" s="136"/>
      <c r="H40" s="144">
        <v>17</v>
      </c>
      <c r="I40" s="150" t="s">
        <v>62</v>
      </c>
      <c r="J40" s="151" t="e">
        <f t="shared" si="10"/>
        <v>#N/A</v>
      </c>
      <c r="K40" s="151" t="e">
        <f t="shared" si="11"/>
        <v>#N/A</v>
      </c>
      <c r="L40" s="151" t="e">
        <f t="shared" si="12"/>
        <v>#N/A</v>
      </c>
      <c r="M40" s="141" t="e">
        <f t="shared" si="13"/>
        <v>#N/A</v>
      </c>
    </row>
    <row r="41" spans="1:13" x14ac:dyDescent="0.3">
      <c r="A41" s="144">
        <v>7</v>
      </c>
      <c r="B41" s="150" t="s">
        <v>166</v>
      </c>
      <c r="C41" s="151">
        <f t="shared" si="6"/>
        <v>0</v>
      </c>
      <c r="D41" s="151">
        <f t="shared" si="7"/>
        <v>0</v>
      </c>
      <c r="E41" s="151">
        <f t="shared" si="8"/>
        <v>0</v>
      </c>
      <c r="F41" s="141">
        <f t="shared" si="9"/>
        <v>0</v>
      </c>
      <c r="G41" s="136"/>
      <c r="H41" s="144">
        <v>15</v>
      </c>
      <c r="I41" s="150" t="s">
        <v>57</v>
      </c>
      <c r="J41" s="151">
        <f t="shared" si="10"/>
        <v>0</v>
      </c>
      <c r="K41" s="151">
        <f t="shared" si="11"/>
        <v>0</v>
      </c>
      <c r="L41" s="151">
        <f t="shared" si="12"/>
        <v>0</v>
      </c>
      <c r="M41" s="141">
        <f t="shared" si="13"/>
        <v>0</v>
      </c>
    </row>
    <row r="42" spans="1:13" x14ac:dyDescent="0.3">
      <c r="A42" s="144">
        <v>15</v>
      </c>
      <c r="B42" s="150" t="s">
        <v>52</v>
      </c>
      <c r="C42" s="151">
        <f t="shared" si="6"/>
        <v>0</v>
      </c>
      <c r="D42" s="151">
        <f t="shared" si="7"/>
        <v>0</v>
      </c>
      <c r="E42" s="151">
        <f t="shared" si="8"/>
        <v>0</v>
      </c>
      <c r="F42" s="141">
        <f t="shared" si="9"/>
        <v>0</v>
      </c>
      <c r="G42" s="136"/>
      <c r="H42" s="144">
        <v>1</v>
      </c>
      <c r="I42" s="150" t="s">
        <v>157</v>
      </c>
      <c r="J42" s="151">
        <f t="shared" si="10"/>
        <v>0</v>
      </c>
      <c r="K42" s="151">
        <f t="shared" si="11"/>
        <v>0</v>
      </c>
      <c r="L42" s="151">
        <f t="shared" si="12"/>
        <v>0</v>
      </c>
      <c r="M42" s="141">
        <f t="shared" si="13"/>
        <v>0</v>
      </c>
    </row>
    <row r="43" spans="1:13" x14ac:dyDescent="0.3">
      <c r="A43" s="144">
        <v>4</v>
      </c>
      <c r="B43" s="150" t="s">
        <v>160</v>
      </c>
      <c r="C43" s="151">
        <f t="shared" si="6"/>
        <v>1</v>
      </c>
      <c r="D43" s="151">
        <f t="shared" si="7"/>
        <v>1</v>
      </c>
      <c r="E43" s="151">
        <f t="shared" si="8"/>
        <v>0</v>
      </c>
      <c r="F43" s="141">
        <f t="shared" si="9"/>
        <v>2</v>
      </c>
      <c r="G43" s="136"/>
      <c r="H43" s="144">
        <v>3</v>
      </c>
      <c r="I43" s="150" t="s">
        <v>159</v>
      </c>
      <c r="J43" s="151">
        <f t="shared" si="10"/>
        <v>0</v>
      </c>
      <c r="K43" s="151">
        <f t="shared" si="11"/>
        <v>0</v>
      </c>
      <c r="L43" s="151">
        <f t="shared" si="12"/>
        <v>0</v>
      </c>
      <c r="M43" s="141">
        <f t="shared" si="13"/>
        <v>0</v>
      </c>
    </row>
    <row r="44" spans="1:13" x14ac:dyDescent="0.3">
      <c r="A44" s="144">
        <v>10</v>
      </c>
      <c r="B44" s="150" t="s">
        <v>59</v>
      </c>
      <c r="C44" s="151">
        <f t="shared" si="6"/>
        <v>4</v>
      </c>
      <c r="D44" s="151">
        <f t="shared" si="7"/>
        <v>0</v>
      </c>
      <c r="E44" s="151">
        <f t="shared" si="8"/>
        <v>0</v>
      </c>
      <c r="F44" s="141">
        <f t="shared" si="9"/>
        <v>4</v>
      </c>
      <c r="G44" s="136"/>
      <c r="H44" s="144">
        <v>4</v>
      </c>
      <c r="I44" s="150" t="s">
        <v>160</v>
      </c>
      <c r="J44" s="151">
        <f t="shared" si="10"/>
        <v>0</v>
      </c>
      <c r="K44" s="151">
        <f t="shared" si="11"/>
        <v>0</v>
      </c>
      <c r="L44" s="151">
        <f t="shared" si="12"/>
        <v>0</v>
      </c>
      <c r="M44" s="141">
        <f t="shared" si="13"/>
        <v>0</v>
      </c>
    </row>
    <row r="45" spans="1:13" x14ac:dyDescent="0.3">
      <c r="A45" s="144">
        <v>5</v>
      </c>
      <c r="B45" s="150" t="s">
        <v>161</v>
      </c>
      <c r="C45" s="151">
        <f t="shared" si="6"/>
        <v>0</v>
      </c>
      <c r="D45" s="151">
        <f t="shared" si="7"/>
        <v>11</v>
      </c>
      <c r="E45" s="151">
        <f t="shared" si="8"/>
        <v>0</v>
      </c>
      <c r="F45" s="141">
        <f t="shared" si="9"/>
        <v>11</v>
      </c>
      <c r="G45" s="136"/>
      <c r="H45" s="144">
        <v>5</v>
      </c>
      <c r="I45" s="150" t="s">
        <v>161</v>
      </c>
      <c r="J45" s="151">
        <f t="shared" si="10"/>
        <v>0</v>
      </c>
      <c r="K45" s="151">
        <f t="shared" si="11"/>
        <v>0</v>
      </c>
      <c r="L45" s="151">
        <f t="shared" si="12"/>
        <v>0</v>
      </c>
      <c r="M45" s="141">
        <f t="shared" si="13"/>
        <v>0</v>
      </c>
    </row>
    <row r="46" spans="1:13" x14ac:dyDescent="0.3">
      <c r="A46" s="144">
        <v>8</v>
      </c>
      <c r="B46" s="150" t="s">
        <v>162</v>
      </c>
      <c r="C46" s="151">
        <f t="shared" si="6"/>
        <v>12</v>
      </c>
      <c r="D46" s="151" t="str">
        <f t="shared" si="7"/>
        <v xml:space="preserve"> </v>
      </c>
      <c r="E46" s="151">
        <f t="shared" si="8"/>
        <v>0</v>
      </c>
      <c r="F46" s="141">
        <f t="shared" si="9"/>
        <v>12</v>
      </c>
      <c r="G46" s="136"/>
      <c r="H46" s="144">
        <v>6</v>
      </c>
      <c r="I46" s="150" t="s">
        <v>165</v>
      </c>
      <c r="J46" s="151">
        <f t="shared" si="10"/>
        <v>0</v>
      </c>
      <c r="K46" s="151">
        <f t="shared" si="11"/>
        <v>0</v>
      </c>
      <c r="L46" s="151">
        <f t="shared" si="12"/>
        <v>0</v>
      </c>
      <c r="M46" s="141">
        <f t="shared" si="13"/>
        <v>0</v>
      </c>
    </row>
    <row r="47" spans="1:13" x14ac:dyDescent="0.3">
      <c r="A47" s="144">
        <v>16</v>
      </c>
      <c r="B47" s="150" t="s">
        <v>57</v>
      </c>
      <c r="C47" s="151">
        <f t="shared" si="6"/>
        <v>14</v>
      </c>
      <c r="D47" s="151">
        <f t="shared" si="7"/>
        <v>0</v>
      </c>
      <c r="E47" s="151">
        <f t="shared" si="8"/>
        <v>0</v>
      </c>
      <c r="F47" s="141">
        <f t="shared" si="9"/>
        <v>14</v>
      </c>
      <c r="G47" s="136"/>
      <c r="H47" s="144">
        <v>7</v>
      </c>
      <c r="I47" s="150" t="s">
        <v>166</v>
      </c>
      <c r="J47" s="151">
        <f t="shared" si="10"/>
        <v>0</v>
      </c>
      <c r="K47" s="151">
        <f t="shared" si="11"/>
        <v>0</v>
      </c>
      <c r="L47" s="151">
        <f t="shared" si="12"/>
        <v>0</v>
      </c>
      <c r="M47" s="141">
        <f t="shared" si="13"/>
        <v>0</v>
      </c>
    </row>
    <row r="48" spans="1:13" x14ac:dyDescent="0.3">
      <c r="A48" s="144">
        <v>17</v>
      </c>
      <c r="B48" s="150" t="s">
        <v>54</v>
      </c>
      <c r="C48" s="151">
        <f t="shared" si="6"/>
        <v>66</v>
      </c>
      <c r="D48" s="151">
        <f t="shared" si="7"/>
        <v>20</v>
      </c>
      <c r="E48" s="151">
        <f t="shared" si="8"/>
        <v>1</v>
      </c>
      <c r="F48" s="141">
        <f t="shared" si="9"/>
        <v>87</v>
      </c>
      <c r="G48" s="136"/>
      <c r="H48" s="144">
        <v>16</v>
      </c>
      <c r="I48" s="150" t="s">
        <v>54</v>
      </c>
      <c r="J48" s="151">
        <f t="shared" si="10"/>
        <v>3</v>
      </c>
      <c r="K48" s="151">
        <f t="shared" si="11"/>
        <v>0</v>
      </c>
      <c r="L48" s="151">
        <f t="shared" si="12"/>
        <v>0</v>
      </c>
      <c r="M48" s="141">
        <f t="shared" si="13"/>
        <v>3</v>
      </c>
    </row>
    <row r="49" spans="1:13" x14ac:dyDescent="0.3">
      <c r="A49" s="144">
        <v>12</v>
      </c>
      <c r="B49" s="150" t="s">
        <v>60</v>
      </c>
      <c r="C49" s="151">
        <f t="shared" si="6"/>
        <v>50</v>
      </c>
      <c r="D49" s="151">
        <f t="shared" si="7"/>
        <v>66</v>
      </c>
      <c r="E49" s="151">
        <f t="shared" si="8"/>
        <v>11</v>
      </c>
      <c r="F49" s="141">
        <f t="shared" si="9"/>
        <v>127</v>
      </c>
      <c r="G49" s="136"/>
      <c r="H49" s="144">
        <v>12</v>
      </c>
      <c r="I49" s="150" t="s">
        <v>56</v>
      </c>
      <c r="J49" s="151">
        <f t="shared" si="10"/>
        <v>4</v>
      </c>
      <c r="K49" s="151">
        <f t="shared" si="11"/>
        <v>31</v>
      </c>
      <c r="L49" s="151">
        <f t="shared" si="12"/>
        <v>24</v>
      </c>
      <c r="M49" s="141">
        <f t="shared" si="13"/>
        <v>59</v>
      </c>
    </row>
    <row r="50" spans="1:13" x14ac:dyDescent="0.3">
      <c r="A50" s="144">
        <v>1</v>
      </c>
      <c r="B50" s="150" t="s">
        <v>157</v>
      </c>
      <c r="C50" s="151">
        <f t="shared" si="6"/>
        <v>42</v>
      </c>
      <c r="D50" s="151">
        <f t="shared" si="7"/>
        <v>64</v>
      </c>
      <c r="E50" s="151">
        <f t="shared" si="8"/>
        <v>38</v>
      </c>
      <c r="F50" s="141">
        <f t="shared" si="9"/>
        <v>144</v>
      </c>
      <c r="G50" s="136"/>
      <c r="H50" s="144">
        <v>9</v>
      </c>
      <c r="I50" s="150" t="s">
        <v>58</v>
      </c>
      <c r="J50" s="151">
        <f t="shared" si="10"/>
        <v>23</v>
      </c>
      <c r="K50" s="151">
        <f t="shared" si="11"/>
        <v>24</v>
      </c>
      <c r="L50" s="151">
        <f t="shared" si="12"/>
        <v>14</v>
      </c>
      <c r="M50" s="141">
        <f t="shared" si="13"/>
        <v>61</v>
      </c>
    </row>
    <row r="51" spans="1:13" x14ac:dyDescent="0.3">
      <c r="A51" s="144">
        <v>13</v>
      </c>
      <c r="B51" s="150" t="s">
        <v>56</v>
      </c>
      <c r="C51" s="151">
        <f t="shared" si="6"/>
        <v>43</v>
      </c>
      <c r="D51" s="151">
        <f t="shared" si="7"/>
        <v>68</v>
      </c>
      <c r="E51" s="151">
        <f t="shared" si="8"/>
        <v>140</v>
      </c>
      <c r="F51" s="141">
        <f t="shared" si="9"/>
        <v>251</v>
      </c>
      <c r="G51" s="136"/>
      <c r="H51" s="144">
        <v>8</v>
      </c>
      <c r="I51" s="150" t="s">
        <v>162</v>
      </c>
      <c r="J51" s="151">
        <f t="shared" si="10"/>
        <v>33</v>
      </c>
      <c r="K51" s="151">
        <f t="shared" si="11"/>
        <v>31</v>
      </c>
      <c r="L51" s="151">
        <f t="shared" si="12"/>
        <v>61</v>
      </c>
      <c r="M51" s="141">
        <f t="shared" si="13"/>
        <v>125</v>
      </c>
    </row>
    <row r="52" spans="1:13" x14ac:dyDescent="0.3">
      <c r="A52" s="144">
        <v>2</v>
      </c>
      <c r="B52" s="150" t="s">
        <v>158</v>
      </c>
      <c r="C52" s="151">
        <f t="shared" si="6"/>
        <v>159</v>
      </c>
      <c r="D52" s="151">
        <f t="shared" si="7"/>
        <v>314</v>
      </c>
      <c r="E52" s="151">
        <f t="shared" si="8"/>
        <v>156</v>
      </c>
      <c r="F52" s="141">
        <f t="shared" si="9"/>
        <v>629</v>
      </c>
      <c r="G52" s="136"/>
      <c r="H52" s="145">
        <v>10</v>
      </c>
      <c r="I52" s="153" t="s">
        <v>196</v>
      </c>
      <c r="J52" s="151">
        <f t="shared" si="10"/>
        <v>446</v>
      </c>
      <c r="K52" s="151">
        <f t="shared" si="11"/>
        <v>284</v>
      </c>
      <c r="L52" s="151">
        <f t="shared" si="12"/>
        <v>90</v>
      </c>
      <c r="M52" s="141">
        <f t="shared" si="13"/>
        <v>820</v>
      </c>
    </row>
    <row r="53" spans="1:13" x14ac:dyDescent="0.3">
      <c r="A53" s="145">
        <v>11</v>
      </c>
      <c r="B53" s="153" t="s">
        <v>208</v>
      </c>
      <c r="C53" s="154">
        <f t="shared" si="6"/>
        <v>313</v>
      </c>
      <c r="D53" s="154">
        <f t="shared" si="7"/>
        <v>445</v>
      </c>
      <c r="E53" s="154">
        <f t="shared" si="8"/>
        <v>250</v>
      </c>
      <c r="F53" s="142">
        <f t="shared" si="9"/>
        <v>1008</v>
      </c>
      <c r="G53" s="136"/>
    </row>
    <row r="54" spans="1:13" x14ac:dyDescent="0.3">
      <c r="A54" s="136"/>
    </row>
    <row r="55" spans="1:13" s="42" customFormat="1" x14ac:dyDescent="0.3">
      <c r="B55" s="76"/>
      <c r="C55" s="53"/>
      <c r="D55" s="53"/>
      <c r="E55" s="77"/>
      <c r="F55" s="53"/>
    </row>
    <row r="56" spans="1:13" x14ac:dyDescent="0.3">
      <c r="B56" s="244" t="s">
        <v>73</v>
      </c>
      <c r="H56" s="135" t="s">
        <v>71</v>
      </c>
      <c r="I56" s="166"/>
      <c r="J56" s="46"/>
      <c r="K56" s="46"/>
      <c r="L56" s="46"/>
    </row>
    <row r="57" spans="1:13" x14ac:dyDescent="0.3">
      <c r="A57" s="143"/>
      <c r="B57" s="245"/>
      <c r="C57" s="139" t="s">
        <v>93</v>
      </c>
      <c r="D57" s="139" t="s">
        <v>94</v>
      </c>
      <c r="E57" s="139" t="s">
        <v>36</v>
      </c>
      <c r="F57" s="140" t="s">
        <v>181</v>
      </c>
      <c r="G57" s="157"/>
      <c r="H57" s="143"/>
      <c r="I57" s="139"/>
      <c r="J57" s="139" t="s">
        <v>93</v>
      </c>
      <c r="K57" s="139" t="s">
        <v>94</v>
      </c>
      <c r="L57" s="139" t="s">
        <v>36</v>
      </c>
      <c r="M57" s="140" t="s">
        <v>181</v>
      </c>
    </row>
    <row r="58" spans="1:13" x14ac:dyDescent="0.3">
      <c r="A58" s="144">
        <v>6</v>
      </c>
      <c r="B58" s="150" t="s">
        <v>165</v>
      </c>
      <c r="C58" s="146" t="e">
        <f t="shared" ref="C58:C75" si="14">IF(INDEX(Q1_Paeds,4+$A58,16)="No data",NA(),INDEX(Q1_Paeds,4+$A58,16))</f>
        <v>#N/A</v>
      </c>
      <c r="D58" s="146" t="e">
        <f t="shared" ref="D58:D75" si="15">IF(INDEX(Q1_Paeds,4+$A58,17)="No data",NA(),INDEX(Q1_Paeds,4+$A58,17))</f>
        <v>#N/A</v>
      </c>
      <c r="E58" s="146" t="e">
        <f t="shared" ref="E58:E75" si="16">IF(INDEX(Q1_Paeds,4+$A58,18)="No data",NA(),INDEX(Q1_Paeds,4+$A58,18))</f>
        <v>#N/A</v>
      </c>
      <c r="F58" s="141" t="e">
        <f t="shared" ref="F58:F75" si="17">SUM(C58:E58)</f>
        <v>#N/A</v>
      </c>
      <c r="G58" s="158"/>
      <c r="H58" s="144">
        <v>2</v>
      </c>
      <c r="I58" s="150" t="s">
        <v>158</v>
      </c>
      <c r="J58" s="151" t="e">
        <f t="shared" ref="J58:J74" si="18">IF(INDEX(Q1_Adult,4+$H58,16)="No data",NA(),INDEX(Q1_Adult,4+$H58,16))</f>
        <v>#N/A</v>
      </c>
      <c r="K58" s="151" t="e">
        <f t="shared" ref="K58:K74" si="19">IF(INDEX(Q1_Adult,4+$H58,17)="No data",NA(),INDEX(Q1_Adult,4+$H58,17))</f>
        <v>#N/A</v>
      </c>
      <c r="L58" s="151" t="e">
        <f t="shared" ref="L58:L74" si="20">IF(INDEX(Q1_Adult,4+$H58,18)="No data",NA(),INDEX(Q1_Adult,4+$H58,18))</f>
        <v>#N/A</v>
      </c>
      <c r="M58" s="141" t="e">
        <f t="shared" ref="M58:M74" si="21">SUM(J58:L58)</f>
        <v>#N/A</v>
      </c>
    </row>
    <row r="59" spans="1:13" x14ac:dyDescent="0.3">
      <c r="A59" s="144">
        <v>9</v>
      </c>
      <c r="B59" s="150" t="s">
        <v>58</v>
      </c>
      <c r="C59" s="146" t="e">
        <f t="shared" si="14"/>
        <v>#N/A</v>
      </c>
      <c r="D59" s="146" t="e">
        <f t="shared" si="15"/>
        <v>#N/A</v>
      </c>
      <c r="E59" s="146" t="e">
        <f t="shared" si="16"/>
        <v>#N/A</v>
      </c>
      <c r="F59" s="141" t="e">
        <f t="shared" si="17"/>
        <v>#N/A</v>
      </c>
      <c r="G59" s="158"/>
      <c r="H59" s="144">
        <v>11</v>
      </c>
      <c r="I59" s="150" t="s">
        <v>60</v>
      </c>
      <c r="J59" s="151" t="e">
        <f t="shared" si="18"/>
        <v>#N/A</v>
      </c>
      <c r="K59" s="151" t="e">
        <f t="shared" si="19"/>
        <v>#N/A</v>
      </c>
      <c r="L59" s="151" t="e">
        <f t="shared" si="20"/>
        <v>#N/A</v>
      </c>
      <c r="M59" s="141" t="e">
        <f t="shared" si="21"/>
        <v>#N/A</v>
      </c>
    </row>
    <row r="60" spans="1:13" x14ac:dyDescent="0.3">
      <c r="A60" s="144">
        <v>14</v>
      </c>
      <c r="B60" s="150" t="s">
        <v>61</v>
      </c>
      <c r="C60" s="146" t="e">
        <f t="shared" si="14"/>
        <v>#N/A</v>
      </c>
      <c r="D60" s="146" t="e">
        <f t="shared" si="15"/>
        <v>#N/A</v>
      </c>
      <c r="E60" s="146" t="e">
        <f t="shared" si="16"/>
        <v>#N/A</v>
      </c>
      <c r="F60" s="141" t="e">
        <f t="shared" si="17"/>
        <v>#N/A</v>
      </c>
      <c r="G60" s="158"/>
      <c r="H60" s="144">
        <v>13</v>
      </c>
      <c r="I60" s="150" t="s">
        <v>61</v>
      </c>
      <c r="J60" s="151" t="e">
        <f t="shared" si="18"/>
        <v>#N/A</v>
      </c>
      <c r="K60" s="151" t="e">
        <f t="shared" si="19"/>
        <v>#N/A</v>
      </c>
      <c r="L60" s="151" t="e">
        <f t="shared" si="20"/>
        <v>#N/A</v>
      </c>
      <c r="M60" s="141" t="e">
        <f t="shared" si="21"/>
        <v>#N/A</v>
      </c>
    </row>
    <row r="61" spans="1:13" x14ac:dyDescent="0.3">
      <c r="A61" s="144">
        <v>18</v>
      </c>
      <c r="B61" s="150" t="s">
        <v>62</v>
      </c>
      <c r="C61" s="146" t="e">
        <f t="shared" si="14"/>
        <v>#N/A</v>
      </c>
      <c r="D61" s="146" t="e">
        <f t="shared" si="15"/>
        <v>#N/A</v>
      </c>
      <c r="E61" s="146" t="e">
        <f t="shared" si="16"/>
        <v>#N/A</v>
      </c>
      <c r="F61" s="141" t="e">
        <f t="shared" si="17"/>
        <v>#N/A</v>
      </c>
      <c r="G61" s="158"/>
      <c r="H61" s="144">
        <v>14</v>
      </c>
      <c r="I61" s="150" t="s">
        <v>52</v>
      </c>
      <c r="J61" s="151" t="e">
        <f t="shared" si="18"/>
        <v>#N/A</v>
      </c>
      <c r="K61" s="151" t="e">
        <f t="shared" si="19"/>
        <v>#N/A</v>
      </c>
      <c r="L61" s="151" t="e">
        <f t="shared" si="20"/>
        <v>#N/A</v>
      </c>
      <c r="M61" s="141" t="e">
        <f t="shared" si="21"/>
        <v>#N/A</v>
      </c>
    </row>
    <row r="62" spans="1:13" x14ac:dyDescent="0.3">
      <c r="A62" s="144">
        <v>11</v>
      </c>
      <c r="B62" s="150" t="s">
        <v>208</v>
      </c>
      <c r="C62" s="146">
        <f t="shared" si="14"/>
        <v>0</v>
      </c>
      <c r="D62" s="146">
        <f t="shared" si="15"/>
        <v>0</v>
      </c>
      <c r="E62" s="146">
        <f t="shared" si="16"/>
        <v>0</v>
      </c>
      <c r="F62" s="141">
        <f t="shared" si="17"/>
        <v>0</v>
      </c>
      <c r="G62" s="158"/>
      <c r="H62" s="144">
        <v>17</v>
      </c>
      <c r="I62" s="150" t="s">
        <v>62</v>
      </c>
      <c r="J62" s="151" t="e">
        <f t="shared" si="18"/>
        <v>#N/A</v>
      </c>
      <c r="K62" s="151" t="e">
        <f t="shared" si="19"/>
        <v>#N/A</v>
      </c>
      <c r="L62" s="151" t="e">
        <f t="shared" si="20"/>
        <v>#N/A</v>
      </c>
      <c r="M62" s="141" t="e">
        <f t="shared" si="21"/>
        <v>#N/A</v>
      </c>
    </row>
    <row r="63" spans="1:13" x14ac:dyDescent="0.3">
      <c r="A63" s="144">
        <v>2</v>
      </c>
      <c r="B63" s="150" t="s">
        <v>158</v>
      </c>
      <c r="C63" s="146">
        <f t="shared" si="14"/>
        <v>0</v>
      </c>
      <c r="D63" s="146">
        <f t="shared" si="15"/>
        <v>0</v>
      </c>
      <c r="E63" s="146">
        <f t="shared" si="16"/>
        <v>0</v>
      </c>
      <c r="F63" s="141">
        <f t="shared" si="17"/>
        <v>0</v>
      </c>
      <c r="G63" s="158"/>
      <c r="H63" s="144">
        <v>4</v>
      </c>
      <c r="I63" s="150" t="s">
        <v>160</v>
      </c>
      <c r="J63" s="151">
        <f t="shared" si="18"/>
        <v>0</v>
      </c>
      <c r="K63" s="151">
        <f t="shared" si="19"/>
        <v>0</v>
      </c>
      <c r="L63" s="151">
        <f t="shared" si="20"/>
        <v>0</v>
      </c>
      <c r="M63" s="141">
        <f t="shared" si="21"/>
        <v>0</v>
      </c>
    </row>
    <row r="64" spans="1:13" x14ac:dyDescent="0.3">
      <c r="A64" s="144">
        <v>10</v>
      </c>
      <c r="B64" s="150" t="s">
        <v>59</v>
      </c>
      <c r="C64" s="146">
        <f t="shared" si="14"/>
        <v>1</v>
      </c>
      <c r="D64" s="146">
        <f t="shared" si="15"/>
        <v>0</v>
      </c>
      <c r="E64" s="146">
        <f t="shared" si="16"/>
        <v>0</v>
      </c>
      <c r="F64" s="141">
        <f t="shared" si="17"/>
        <v>1</v>
      </c>
      <c r="G64" s="158"/>
      <c r="H64" s="144">
        <v>5</v>
      </c>
      <c r="I64" s="150" t="s">
        <v>161</v>
      </c>
      <c r="J64" s="151">
        <f t="shared" si="18"/>
        <v>0</v>
      </c>
      <c r="K64" s="151">
        <f t="shared" si="19"/>
        <v>0</v>
      </c>
      <c r="L64" s="151">
        <f t="shared" si="20"/>
        <v>0</v>
      </c>
      <c r="M64" s="141">
        <f t="shared" si="21"/>
        <v>0</v>
      </c>
    </row>
    <row r="65" spans="1:15" x14ac:dyDescent="0.3">
      <c r="A65" s="144">
        <v>15</v>
      </c>
      <c r="B65" s="150" t="s">
        <v>52</v>
      </c>
      <c r="C65" s="146">
        <f t="shared" si="14"/>
        <v>1</v>
      </c>
      <c r="D65" s="146">
        <f t="shared" si="15"/>
        <v>2</v>
      </c>
      <c r="E65" s="146">
        <f t="shared" si="16"/>
        <v>0</v>
      </c>
      <c r="F65" s="141">
        <f t="shared" si="17"/>
        <v>3</v>
      </c>
      <c r="G65" s="158"/>
      <c r="H65" s="144">
        <v>8</v>
      </c>
      <c r="I65" s="150" t="s">
        <v>162</v>
      </c>
      <c r="J65" s="151">
        <f t="shared" si="18"/>
        <v>0</v>
      </c>
      <c r="K65" s="151">
        <f t="shared" si="19"/>
        <v>0</v>
      </c>
      <c r="L65" s="151">
        <f t="shared" si="20"/>
        <v>0</v>
      </c>
      <c r="M65" s="141">
        <f t="shared" si="21"/>
        <v>0</v>
      </c>
    </row>
    <row r="66" spans="1:15" x14ac:dyDescent="0.3">
      <c r="A66" s="144">
        <v>4</v>
      </c>
      <c r="B66" s="150" t="s">
        <v>160</v>
      </c>
      <c r="C66" s="146">
        <f t="shared" si="14"/>
        <v>5</v>
      </c>
      <c r="D66" s="146">
        <f t="shared" si="15"/>
        <v>6</v>
      </c>
      <c r="E66" s="146">
        <f t="shared" si="16"/>
        <v>2</v>
      </c>
      <c r="F66" s="141">
        <f t="shared" si="17"/>
        <v>13</v>
      </c>
      <c r="G66" s="158"/>
      <c r="H66" s="144">
        <v>10</v>
      </c>
      <c r="I66" s="150" t="s">
        <v>212</v>
      </c>
      <c r="J66" s="151" t="str">
        <f t="shared" si="18"/>
        <v>N/A</v>
      </c>
      <c r="K66" s="151" t="str">
        <f t="shared" si="19"/>
        <v>N/A</v>
      </c>
      <c r="L66" s="151" t="str">
        <f t="shared" si="20"/>
        <v>N/A</v>
      </c>
      <c r="M66" s="141">
        <f t="shared" si="21"/>
        <v>0</v>
      </c>
    </row>
    <row r="67" spans="1:15" x14ac:dyDescent="0.3">
      <c r="A67" s="144">
        <v>7</v>
      </c>
      <c r="B67" s="150" t="s">
        <v>166</v>
      </c>
      <c r="C67" s="146">
        <f t="shared" si="14"/>
        <v>11</v>
      </c>
      <c r="D67" s="146">
        <f t="shared" si="15"/>
        <v>17</v>
      </c>
      <c r="E67" s="146">
        <f t="shared" si="16"/>
        <v>0</v>
      </c>
      <c r="F67" s="141">
        <f t="shared" si="17"/>
        <v>28</v>
      </c>
      <c r="G67" s="158"/>
      <c r="H67" s="144">
        <v>7</v>
      </c>
      <c r="I67" s="150" t="s">
        <v>166</v>
      </c>
      <c r="J67" s="151">
        <f t="shared" si="18"/>
        <v>0</v>
      </c>
      <c r="K67" s="151">
        <f t="shared" si="19"/>
        <v>3</v>
      </c>
      <c r="L67" s="151">
        <f t="shared" si="20"/>
        <v>1</v>
      </c>
      <c r="M67" s="141">
        <f t="shared" si="21"/>
        <v>4</v>
      </c>
    </row>
    <row r="68" spans="1:15" x14ac:dyDescent="0.3">
      <c r="A68" s="144">
        <v>5</v>
      </c>
      <c r="B68" s="150" t="s">
        <v>161</v>
      </c>
      <c r="C68" s="146">
        <f t="shared" si="14"/>
        <v>8</v>
      </c>
      <c r="D68" s="146">
        <f t="shared" si="15"/>
        <v>18</v>
      </c>
      <c r="E68" s="146">
        <f t="shared" si="16"/>
        <v>5</v>
      </c>
      <c r="F68" s="141">
        <f t="shared" si="17"/>
        <v>31</v>
      </c>
      <c r="G68" s="158"/>
      <c r="H68" s="144">
        <v>16</v>
      </c>
      <c r="I68" s="150" t="s">
        <v>54</v>
      </c>
      <c r="J68" s="151">
        <f t="shared" si="18"/>
        <v>6</v>
      </c>
      <c r="K68" s="151">
        <f t="shared" si="19"/>
        <v>7</v>
      </c>
      <c r="L68" s="151">
        <f t="shared" si="20"/>
        <v>0</v>
      </c>
      <c r="M68" s="141">
        <f t="shared" si="21"/>
        <v>13</v>
      </c>
    </row>
    <row r="69" spans="1:15" x14ac:dyDescent="0.3">
      <c r="A69" s="144">
        <v>3</v>
      </c>
      <c r="B69" s="150" t="s">
        <v>159</v>
      </c>
      <c r="C69" s="146">
        <f t="shared" si="14"/>
        <v>45</v>
      </c>
      <c r="D69" s="146">
        <f t="shared" si="15"/>
        <v>20</v>
      </c>
      <c r="E69" s="146">
        <f t="shared" si="16"/>
        <v>0</v>
      </c>
      <c r="F69" s="141">
        <f t="shared" si="17"/>
        <v>65</v>
      </c>
      <c r="G69" s="158"/>
      <c r="H69" s="144">
        <v>15</v>
      </c>
      <c r="I69" s="150" t="s">
        <v>57</v>
      </c>
      <c r="J69" s="151">
        <f t="shared" si="18"/>
        <v>13</v>
      </c>
      <c r="K69" s="151">
        <f t="shared" si="19"/>
        <v>0</v>
      </c>
      <c r="L69" s="151">
        <f t="shared" si="20"/>
        <v>0</v>
      </c>
      <c r="M69" s="141">
        <f t="shared" si="21"/>
        <v>13</v>
      </c>
    </row>
    <row r="70" spans="1:15" x14ac:dyDescent="0.3">
      <c r="A70" s="144">
        <v>16</v>
      </c>
      <c r="B70" s="150" t="s">
        <v>57</v>
      </c>
      <c r="C70" s="146">
        <f t="shared" si="14"/>
        <v>28</v>
      </c>
      <c r="D70" s="146">
        <f t="shared" si="15"/>
        <v>37</v>
      </c>
      <c r="E70" s="146">
        <f t="shared" si="16"/>
        <v>14</v>
      </c>
      <c r="F70" s="141">
        <f t="shared" si="17"/>
        <v>79</v>
      </c>
      <c r="G70" s="158"/>
      <c r="H70" s="144">
        <v>12</v>
      </c>
      <c r="I70" s="150" t="s">
        <v>56</v>
      </c>
      <c r="J70" s="151">
        <f t="shared" si="18"/>
        <v>4</v>
      </c>
      <c r="K70" s="151">
        <f t="shared" si="19"/>
        <v>31</v>
      </c>
      <c r="L70" s="151">
        <f t="shared" si="20"/>
        <v>24</v>
      </c>
      <c r="M70" s="141">
        <f t="shared" si="21"/>
        <v>59</v>
      </c>
    </row>
    <row r="71" spans="1:15" x14ac:dyDescent="0.3">
      <c r="A71" s="144">
        <v>13</v>
      </c>
      <c r="B71" s="150" t="s">
        <v>56</v>
      </c>
      <c r="C71" s="146">
        <f t="shared" si="14"/>
        <v>14</v>
      </c>
      <c r="D71" s="146">
        <f t="shared" si="15"/>
        <v>30</v>
      </c>
      <c r="E71" s="146">
        <f t="shared" si="16"/>
        <v>42</v>
      </c>
      <c r="F71" s="141">
        <f t="shared" si="17"/>
        <v>86</v>
      </c>
      <c r="G71" s="158"/>
      <c r="H71" s="144">
        <v>9</v>
      </c>
      <c r="I71" s="150" t="s">
        <v>58</v>
      </c>
      <c r="J71" s="151">
        <f t="shared" si="18"/>
        <v>23</v>
      </c>
      <c r="K71" s="151">
        <f t="shared" si="19"/>
        <v>24</v>
      </c>
      <c r="L71" s="151">
        <f t="shared" si="20"/>
        <v>14</v>
      </c>
      <c r="M71" s="141">
        <f t="shared" si="21"/>
        <v>61</v>
      </c>
    </row>
    <row r="72" spans="1:15" x14ac:dyDescent="0.3">
      <c r="A72" s="144">
        <v>8</v>
      </c>
      <c r="B72" s="150" t="s">
        <v>162</v>
      </c>
      <c r="C72" s="146">
        <f t="shared" si="14"/>
        <v>70</v>
      </c>
      <c r="D72" s="146">
        <f t="shared" si="15"/>
        <v>19</v>
      </c>
      <c r="E72" s="146">
        <f t="shared" si="16"/>
        <v>0</v>
      </c>
      <c r="F72" s="141">
        <f t="shared" si="17"/>
        <v>89</v>
      </c>
      <c r="G72" s="158"/>
      <c r="H72" s="144">
        <v>6</v>
      </c>
      <c r="I72" s="150" t="s">
        <v>165</v>
      </c>
      <c r="J72" s="151">
        <f t="shared" si="18"/>
        <v>30</v>
      </c>
      <c r="K72" s="151">
        <f t="shared" si="19"/>
        <v>53</v>
      </c>
      <c r="L72" s="151">
        <f t="shared" si="20"/>
        <v>53</v>
      </c>
      <c r="M72" s="141">
        <f t="shared" si="21"/>
        <v>136</v>
      </c>
    </row>
    <row r="73" spans="1:15" x14ac:dyDescent="0.3">
      <c r="A73" s="144">
        <v>12</v>
      </c>
      <c r="B73" s="150" t="s">
        <v>60</v>
      </c>
      <c r="C73" s="146">
        <f t="shared" si="14"/>
        <v>44</v>
      </c>
      <c r="D73" s="146">
        <f t="shared" si="15"/>
        <v>35</v>
      </c>
      <c r="E73" s="146">
        <f t="shared" si="16"/>
        <v>15</v>
      </c>
      <c r="F73" s="141">
        <f t="shared" si="17"/>
        <v>94</v>
      </c>
      <c r="G73" s="158"/>
      <c r="H73" s="144">
        <v>1</v>
      </c>
      <c r="I73" s="150" t="s">
        <v>157</v>
      </c>
      <c r="J73" s="151">
        <f t="shared" si="18"/>
        <v>28</v>
      </c>
      <c r="K73" s="151">
        <f t="shared" si="19"/>
        <v>53</v>
      </c>
      <c r="L73" s="151">
        <f t="shared" si="20"/>
        <v>116</v>
      </c>
      <c r="M73" s="141">
        <f t="shared" si="21"/>
        <v>197</v>
      </c>
    </row>
    <row r="74" spans="1:15" x14ac:dyDescent="0.3">
      <c r="A74" s="144">
        <v>17</v>
      </c>
      <c r="B74" s="150" t="s">
        <v>54</v>
      </c>
      <c r="C74" s="146">
        <f t="shared" si="14"/>
        <v>30</v>
      </c>
      <c r="D74" s="146">
        <f t="shared" si="15"/>
        <v>72</v>
      </c>
      <c r="E74" s="146">
        <f t="shared" si="16"/>
        <v>19</v>
      </c>
      <c r="F74" s="141">
        <f t="shared" si="17"/>
        <v>121</v>
      </c>
      <c r="G74" s="158"/>
      <c r="H74" s="145">
        <v>3</v>
      </c>
      <c r="I74" s="153" t="s">
        <v>159</v>
      </c>
      <c r="J74" s="151">
        <f t="shared" si="18"/>
        <v>41</v>
      </c>
      <c r="K74" s="151">
        <f t="shared" si="19"/>
        <v>93</v>
      </c>
      <c r="L74" s="151">
        <f t="shared" si="20"/>
        <v>167</v>
      </c>
      <c r="M74" s="141">
        <f t="shared" si="21"/>
        <v>301</v>
      </c>
    </row>
    <row r="75" spans="1:15" x14ac:dyDescent="0.3">
      <c r="A75" s="145">
        <v>1</v>
      </c>
      <c r="B75" s="153" t="s">
        <v>157</v>
      </c>
      <c r="C75" s="147">
        <f t="shared" si="14"/>
        <v>97</v>
      </c>
      <c r="D75" s="147">
        <f t="shared" si="15"/>
        <v>150</v>
      </c>
      <c r="E75" s="147">
        <f t="shared" si="16"/>
        <v>94</v>
      </c>
      <c r="F75" s="142">
        <f t="shared" si="17"/>
        <v>341</v>
      </c>
      <c r="G75" s="158"/>
    </row>
    <row r="77" spans="1:15" s="103" customFormat="1" ht="18" x14ac:dyDescent="0.35">
      <c r="B77" s="103" t="s">
        <v>108</v>
      </c>
    </row>
    <row r="78" spans="1:15" s="104" customFormat="1" ht="43.5" customHeight="1" x14ac:dyDescent="0.4">
      <c r="B78" s="105" t="s">
        <v>186</v>
      </c>
    </row>
    <row r="79" spans="1:15" x14ac:dyDescent="0.3">
      <c r="A79" s="42"/>
      <c r="B79" s="135" t="s">
        <v>74</v>
      </c>
      <c r="C79" s="42"/>
      <c r="D79" s="42"/>
      <c r="E79" s="135" t="s">
        <v>146</v>
      </c>
      <c r="F79" s="135"/>
      <c r="I79" s="34" t="s">
        <v>143</v>
      </c>
      <c r="M79" s="34" t="s">
        <v>143</v>
      </c>
    </row>
    <row r="80" spans="1:15" x14ac:dyDescent="0.3">
      <c r="A80" s="143"/>
      <c r="B80" s="139"/>
      <c r="C80" s="140" t="str">
        <f>Data!U29</f>
        <v>Local consultant</v>
      </c>
      <c r="D80" s="157"/>
      <c r="E80" s="143"/>
      <c r="F80" s="139"/>
      <c r="G80" s="140" t="str">
        <f>Data!V29</f>
        <v>Visiting consultant</v>
      </c>
      <c r="H80" s="157"/>
      <c r="I80" s="143"/>
      <c r="J80" s="139"/>
      <c r="K80" s="140" t="str">
        <f>Data!U5</f>
        <v>Local consultant</v>
      </c>
      <c r="L80" s="157"/>
      <c r="M80" s="143"/>
      <c r="N80" s="139"/>
      <c r="O80" s="140" t="str">
        <f>Data!V5</f>
        <v>Visiting consultant</v>
      </c>
    </row>
    <row r="81" spans="1:15" x14ac:dyDescent="0.3">
      <c r="A81" s="144">
        <v>6</v>
      </c>
      <c r="B81" s="150" t="s">
        <v>165</v>
      </c>
      <c r="C81" s="159" t="e">
        <f t="shared" ref="C81:C98" si="22">IF(INDEX(Q1_Paeds,4+$A81,21)="No data",NA(),INDEX(Q1_Paeds,4+$A81,21))</f>
        <v>#N/A</v>
      </c>
      <c r="D81" s="161"/>
      <c r="E81" s="144">
        <v>6</v>
      </c>
      <c r="F81" s="150" t="s">
        <v>165</v>
      </c>
      <c r="G81" s="159" t="e">
        <f t="shared" ref="G81:G98" si="23">IF(INDEX(Q1_Paeds,4+$E81,22)="No data",NA(),INDEX(Q1_Paeds,4+$E81,22))</f>
        <v>#N/A</v>
      </c>
      <c r="H81" s="161"/>
      <c r="I81" s="144">
        <v>2</v>
      </c>
      <c r="J81" s="150" t="s">
        <v>158</v>
      </c>
      <c r="K81" s="159" t="e">
        <f t="shared" ref="K81:K97" si="24">IF(INDEX(Q1_Adult,4+$I81,21)="No data",NA(),INDEX(Q1_Adult,4+$I81,21))</f>
        <v>#N/A</v>
      </c>
      <c r="L81" s="161"/>
      <c r="M81" s="144">
        <v>2</v>
      </c>
      <c r="N81" s="150" t="s">
        <v>158</v>
      </c>
      <c r="O81" s="159" t="e">
        <f t="shared" ref="O81:O97" si="25">IF(INDEX(Q1_Adult,4+$M81,22)="No data",NA(),INDEX(Q1_Adult,4+$M81,22))</f>
        <v>#N/A</v>
      </c>
    </row>
    <row r="82" spans="1:15" x14ac:dyDescent="0.3">
      <c r="A82" s="144">
        <v>9</v>
      </c>
      <c r="B82" s="150" t="s">
        <v>58</v>
      </c>
      <c r="C82" s="159" t="e">
        <f t="shared" si="22"/>
        <v>#N/A</v>
      </c>
      <c r="D82" s="161"/>
      <c r="E82" s="144">
        <v>9</v>
      </c>
      <c r="F82" s="150" t="s">
        <v>58</v>
      </c>
      <c r="G82" s="159" t="e">
        <f t="shared" si="23"/>
        <v>#N/A</v>
      </c>
      <c r="H82" s="161"/>
      <c r="I82" s="144">
        <v>11</v>
      </c>
      <c r="J82" s="150" t="s">
        <v>60</v>
      </c>
      <c r="K82" s="159" t="e">
        <f t="shared" si="24"/>
        <v>#N/A</v>
      </c>
      <c r="L82" s="161"/>
      <c r="M82" s="144">
        <v>11</v>
      </c>
      <c r="N82" s="150" t="s">
        <v>60</v>
      </c>
      <c r="O82" s="159" t="e">
        <f t="shared" si="25"/>
        <v>#N/A</v>
      </c>
    </row>
    <row r="83" spans="1:15" x14ac:dyDescent="0.3">
      <c r="A83" s="144">
        <v>14</v>
      </c>
      <c r="B83" s="150" t="s">
        <v>61</v>
      </c>
      <c r="C83" s="159" t="e">
        <f t="shared" si="22"/>
        <v>#N/A</v>
      </c>
      <c r="D83" s="161"/>
      <c r="E83" s="144">
        <v>14</v>
      </c>
      <c r="F83" s="150" t="s">
        <v>61</v>
      </c>
      <c r="G83" s="159" t="e">
        <f t="shared" si="23"/>
        <v>#N/A</v>
      </c>
      <c r="H83" s="161"/>
      <c r="I83" s="144">
        <v>13</v>
      </c>
      <c r="J83" s="150" t="s">
        <v>61</v>
      </c>
      <c r="K83" s="159" t="e">
        <f t="shared" si="24"/>
        <v>#N/A</v>
      </c>
      <c r="L83" s="161"/>
      <c r="M83" s="144">
        <v>13</v>
      </c>
      <c r="N83" s="150" t="s">
        <v>61</v>
      </c>
      <c r="O83" s="159" t="e">
        <f t="shared" si="25"/>
        <v>#N/A</v>
      </c>
    </row>
    <row r="84" spans="1:15" x14ac:dyDescent="0.3">
      <c r="A84" s="144">
        <v>18</v>
      </c>
      <c r="B84" s="150" t="s">
        <v>62</v>
      </c>
      <c r="C84" s="159" t="e">
        <f t="shared" si="22"/>
        <v>#N/A</v>
      </c>
      <c r="D84" s="161"/>
      <c r="E84" s="144">
        <v>18</v>
      </c>
      <c r="F84" s="150" t="s">
        <v>62</v>
      </c>
      <c r="G84" s="159" t="e">
        <f t="shared" si="23"/>
        <v>#N/A</v>
      </c>
      <c r="H84" s="161"/>
      <c r="I84" s="144">
        <v>14</v>
      </c>
      <c r="J84" s="150" t="s">
        <v>52</v>
      </c>
      <c r="K84" s="159" t="e">
        <f t="shared" si="24"/>
        <v>#N/A</v>
      </c>
      <c r="L84" s="161"/>
      <c r="M84" s="144">
        <v>14</v>
      </c>
      <c r="N84" s="150" t="s">
        <v>52</v>
      </c>
      <c r="O84" s="159" t="e">
        <f t="shared" si="25"/>
        <v>#N/A</v>
      </c>
    </row>
    <row r="85" spans="1:15" x14ac:dyDescent="0.3">
      <c r="A85" s="144">
        <v>7</v>
      </c>
      <c r="B85" s="150" t="s">
        <v>166</v>
      </c>
      <c r="C85" s="159">
        <f t="shared" si="22"/>
        <v>0</v>
      </c>
      <c r="D85" s="161"/>
      <c r="E85" s="144">
        <v>11</v>
      </c>
      <c r="F85" s="150" t="s">
        <v>208</v>
      </c>
      <c r="G85" s="159">
        <f t="shared" si="23"/>
        <v>0</v>
      </c>
      <c r="H85" s="161"/>
      <c r="I85" s="144">
        <v>17</v>
      </c>
      <c r="J85" s="150" t="s">
        <v>62</v>
      </c>
      <c r="K85" s="159" t="e">
        <f t="shared" si="24"/>
        <v>#N/A</v>
      </c>
      <c r="L85" s="161"/>
      <c r="M85" s="144">
        <v>17</v>
      </c>
      <c r="N85" s="150" t="s">
        <v>62</v>
      </c>
      <c r="O85" s="159" t="e">
        <f t="shared" si="25"/>
        <v>#N/A</v>
      </c>
    </row>
    <row r="86" spans="1:15" x14ac:dyDescent="0.3">
      <c r="A86" s="144">
        <v>17</v>
      </c>
      <c r="B86" s="150" t="s">
        <v>54</v>
      </c>
      <c r="C86" s="159">
        <f t="shared" si="22"/>
        <v>0.03</v>
      </c>
      <c r="D86" s="161"/>
      <c r="E86" s="144">
        <v>2</v>
      </c>
      <c r="F86" s="150" t="s">
        <v>158</v>
      </c>
      <c r="G86" s="159">
        <f t="shared" si="23"/>
        <v>0</v>
      </c>
      <c r="H86" s="161"/>
      <c r="I86" s="144">
        <v>1</v>
      </c>
      <c r="J86" s="150" t="s">
        <v>157</v>
      </c>
      <c r="K86" s="159">
        <f t="shared" si="24"/>
        <v>0</v>
      </c>
      <c r="L86" s="161"/>
      <c r="M86" s="144">
        <v>16</v>
      </c>
      <c r="N86" s="150" t="s">
        <v>54</v>
      </c>
      <c r="O86" s="159">
        <f t="shared" si="25"/>
        <v>0</v>
      </c>
    </row>
    <row r="87" spans="1:15" x14ac:dyDescent="0.3">
      <c r="A87" s="144">
        <v>8</v>
      </c>
      <c r="B87" s="150" t="s">
        <v>162</v>
      </c>
      <c r="C87" s="159">
        <f t="shared" si="22"/>
        <v>3.49E-2</v>
      </c>
      <c r="D87" s="161"/>
      <c r="E87" s="144">
        <v>4</v>
      </c>
      <c r="F87" s="150" t="s">
        <v>160</v>
      </c>
      <c r="G87" s="159">
        <f t="shared" si="23"/>
        <v>0</v>
      </c>
      <c r="H87" s="161"/>
      <c r="I87" s="144">
        <v>3</v>
      </c>
      <c r="J87" s="150" t="s">
        <v>159</v>
      </c>
      <c r="K87" s="159">
        <f t="shared" si="24"/>
        <v>0</v>
      </c>
      <c r="L87" s="161"/>
      <c r="M87" s="144">
        <v>1</v>
      </c>
      <c r="N87" s="150" t="s">
        <v>157</v>
      </c>
      <c r="O87" s="159">
        <f t="shared" si="25"/>
        <v>0</v>
      </c>
    </row>
    <row r="88" spans="1:15" x14ac:dyDescent="0.3">
      <c r="A88" s="144">
        <v>10</v>
      </c>
      <c r="B88" s="150" t="s">
        <v>59</v>
      </c>
      <c r="C88" s="159">
        <f t="shared" si="22"/>
        <v>0.04</v>
      </c>
      <c r="D88" s="161"/>
      <c r="E88" s="144">
        <v>7</v>
      </c>
      <c r="F88" s="150" t="s">
        <v>166</v>
      </c>
      <c r="G88" s="159">
        <f t="shared" si="23"/>
        <v>0</v>
      </c>
      <c r="H88" s="161"/>
      <c r="I88" s="144">
        <v>4</v>
      </c>
      <c r="J88" s="150" t="s">
        <v>160</v>
      </c>
      <c r="K88" s="159">
        <f t="shared" si="24"/>
        <v>0</v>
      </c>
      <c r="L88" s="161"/>
      <c r="M88" s="144">
        <v>3</v>
      </c>
      <c r="N88" s="150" t="s">
        <v>159</v>
      </c>
      <c r="O88" s="159">
        <f t="shared" si="25"/>
        <v>0</v>
      </c>
    </row>
    <row r="89" spans="1:15" x14ac:dyDescent="0.3">
      <c r="A89" s="144">
        <v>11</v>
      </c>
      <c r="B89" s="150" t="s">
        <v>208</v>
      </c>
      <c r="C89" s="159">
        <f t="shared" si="22"/>
        <v>0.06</v>
      </c>
      <c r="D89" s="161"/>
      <c r="E89" s="144">
        <v>13</v>
      </c>
      <c r="F89" s="150" t="s">
        <v>56</v>
      </c>
      <c r="G89" s="159">
        <f t="shared" si="23"/>
        <v>0</v>
      </c>
      <c r="H89" s="161"/>
      <c r="I89" s="144">
        <v>5</v>
      </c>
      <c r="J89" s="150" t="s">
        <v>161</v>
      </c>
      <c r="K89" s="159">
        <f t="shared" si="24"/>
        <v>0</v>
      </c>
      <c r="L89" s="161"/>
      <c r="M89" s="144">
        <v>4</v>
      </c>
      <c r="N89" s="150" t="s">
        <v>160</v>
      </c>
      <c r="O89" s="159">
        <f t="shared" si="25"/>
        <v>0</v>
      </c>
    </row>
    <row r="90" spans="1:15" x14ac:dyDescent="0.3">
      <c r="A90" s="144">
        <v>12</v>
      </c>
      <c r="B90" s="150" t="s">
        <v>60</v>
      </c>
      <c r="C90" s="159">
        <f t="shared" si="22"/>
        <v>0.06</v>
      </c>
      <c r="D90" s="161"/>
      <c r="E90" s="144">
        <v>17</v>
      </c>
      <c r="F90" s="150" t="s">
        <v>54</v>
      </c>
      <c r="G90" s="159">
        <f t="shared" si="23"/>
        <v>0</v>
      </c>
      <c r="H90" s="161"/>
      <c r="I90" s="144">
        <v>6</v>
      </c>
      <c r="J90" s="150" t="s">
        <v>165</v>
      </c>
      <c r="K90" s="159">
        <f t="shared" si="24"/>
        <v>0</v>
      </c>
      <c r="L90" s="161"/>
      <c r="M90" s="144">
        <v>5</v>
      </c>
      <c r="N90" s="150" t="s">
        <v>161</v>
      </c>
      <c r="O90" s="159">
        <f t="shared" si="25"/>
        <v>0</v>
      </c>
    </row>
    <row r="91" spans="1:15" x14ac:dyDescent="0.3">
      <c r="A91" s="144">
        <v>15</v>
      </c>
      <c r="B91" s="150" t="s">
        <v>52</v>
      </c>
      <c r="C91" s="159">
        <f t="shared" si="22"/>
        <v>7.0000000000000007E-2</v>
      </c>
      <c r="D91" s="161"/>
      <c r="E91" s="144">
        <v>8</v>
      </c>
      <c r="F91" s="150" t="s">
        <v>162</v>
      </c>
      <c r="G91" s="159">
        <f t="shared" si="23"/>
        <v>0</v>
      </c>
      <c r="H91" s="161"/>
      <c r="I91" s="144">
        <v>7</v>
      </c>
      <c r="J91" s="150" t="s">
        <v>166</v>
      </c>
      <c r="K91" s="159">
        <f t="shared" si="24"/>
        <v>0</v>
      </c>
      <c r="L91" s="161"/>
      <c r="M91" s="144">
        <v>7</v>
      </c>
      <c r="N91" s="150" t="s">
        <v>166</v>
      </c>
      <c r="O91" s="159">
        <f t="shared" si="25"/>
        <v>0</v>
      </c>
    </row>
    <row r="92" spans="1:15" x14ac:dyDescent="0.3">
      <c r="A92" s="144">
        <v>1</v>
      </c>
      <c r="B92" s="150" t="s">
        <v>157</v>
      </c>
      <c r="C92" s="159">
        <f t="shared" si="22"/>
        <v>9.0999999999999998E-2</v>
      </c>
      <c r="D92" s="161"/>
      <c r="E92" s="144">
        <v>16</v>
      </c>
      <c r="F92" s="150" t="s">
        <v>57</v>
      </c>
      <c r="G92" s="159">
        <f t="shared" si="23"/>
        <v>0.02</v>
      </c>
      <c r="H92" s="161"/>
      <c r="I92" s="144">
        <v>8</v>
      </c>
      <c r="J92" s="150" t="s">
        <v>162</v>
      </c>
      <c r="K92" s="159">
        <f t="shared" si="24"/>
        <v>0</v>
      </c>
      <c r="L92" s="161"/>
      <c r="M92" s="144">
        <v>8</v>
      </c>
      <c r="N92" s="150" t="s">
        <v>162</v>
      </c>
      <c r="O92" s="159">
        <f t="shared" si="25"/>
        <v>0</v>
      </c>
    </row>
    <row r="93" spans="1:15" x14ac:dyDescent="0.3">
      <c r="A93" s="144">
        <v>2</v>
      </c>
      <c r="B93" s="150" t="s">
        <v>158</v>
      </c>
      <c r="C93" s="159">
        <f t="shared" si="22"/>
        <v>0.10199999999999999</v>
      </c>
      <c r="D93" s="161"/>
      <c r="E93" s="144">
        <v>12</v>
      </c>
      <c r="F93" s="150" t="s">
        <v>60</v>
      </c>
      <c r="G93" s="159">
        <f t="shared" si="23"/>
        <v>0.03</v>
      </c>
      <c r="H93" s="161"/>
      <c r="I93" s="144">
        <v>16</v>
      </c>
      <c r="J93" s="150" t="s">
        <v>54</v>
      </c>
      <c r="K93" s="159">
        <f t="shared" si="24"/>
        <v>2.5000000000000001E-3</v>
      </c>
      <c r="L93" s="161"/>
      <c r="M93" s="144">
        <v>10</v>
      </c>
      <c r="N93" s="150" t="s">
        <v>196</v>
      </c>
      <c r="O93" s="159">
        <f t="shared" si="25"/>
        <v>0</v>
      </c>
    </row>
    <row r="94" spans="1:15" x14ac:dyDescent="0.3">
      <c r="A94" s="144">
        <v>13</v>
      </c>
      <c r="B94" s="150" t="s">
        <v>56</v>
      </c>
      <c r="C94" s="159">
        <f t="shared" si="22"/>
        <v>0.1091</v>
      </c>
      <c r="D94" s="161"/>
      <c r="E94" s="144">
        <v>5</v>
      </c>
      <c r="F94" s="150" t="s">
        <v>161</v>
      </c>
      <c r="G94" s="159">
        <f t="shared" si="23"/>
        <v>3.6999999999999998E-2</v>
      </c>
      <c r="H94" s="161"/>
      <c r="I94" s="144">
        <v>10</v>
      </c>
      <c r="J94" s="150" t="s">
        <v>196</v>
      </c>
      <c r="K94" s="159">
        <f t="shared" si="24"/>
        <v>0.08</v>
      </c>
      <c r="L94" s="161"/>
      <c r="M94" s="144">
        <v>6</v>
      </c>
      <c r="N94" s="150" t="s">
        <v>165</v>
      </c>
      <c r="O94" s="159">
        <f t="shared" si="25"/>
        <v>7.4999999999999997E-2</v>
      </c>
    </row>
    <row r="95" spans="1:15" x14ac:dyDescent="0.3">
      <c r="A95" s="144">
        <v>3</v>
      </c>
      <c r="B95" s="150" t="s">
        <v>159</v>
      </c>
      <c r="C95" s="159">
        <f t="shared" si="22"/>
        <v>0.15</v>
      </c>
      <c r="D95" s="161"/>
      <c r="E95" s="144">
        <v>10</v>
      </c>
      <c r="F95" s="150" t="s">
        <v>59</v>
      </c>
      <c r="G95" s="159">
        <f t="shared" si="23"/>
        <v>0.04</v>
      </c>
      <c r="H95" s="161"/>
      <c r="I95" s="144">
        <v>9</v>
      </c>
      <c r="J95" s="150" t="s">
        <v>58</v>
      </c>
      <c r="K95" s="159">
        <f t="shared" si="24"/>
        <v>0.14000000000000001</v>
      </c>
      <c r="L95" s="161"/>
      <c r="M95" s="144">
        <v>9</v>
      </c>
      <c r="N95" s="150" t="s">
        <v>58</v>
      </c>
      <c r="O95" s="159">
        <f t="shared" si="25"/>
        <v>0.14000000000000001</v>
      </c>
    </row>
    <row r="96" spans="1:15" x14ac:dyDescent="0.3">
      <c r="A96" s="144">
        <v>16</v>
      </c>
      <c r="B96" s="150" t="s">
        <v>57</v>
      </c>
      <c r="C96" s="159">
        <f t="shared" si="22"/>
        <v>0.15</v>
      </c>
      <c r="D96" s="161"/>
      <c r="E96" s="144">
        <v>15</v>
      </c>
      <c r="F96" s="150" t="s">
        <v>52</v>
      </c>
      <c r="G96" s="159">
        <f t="shared" si="23"/>
        <v>0.04</v>
      </c>
      <c r="H96" s="161"/>
      <c r="I96" s="144">
        <v>12</v>
      </c>
      <c r="J96" s="150" t="s">
        <v>56</v>
      </c>
      <c r="K96" s="159">
        <f t="shared" si="24"/>
        <v>0.148148148148148</v>
      </c>
      <c r="L96" s="161"/>
      <c r="M96" s="144">
        <v>12</v>
      </c>
      <c r="N96" s="150" t="s">
        <v>56</v>
      </c>
      <c r="O96" s="159">
        <f t="shared" si="25"/>
        <v>0.148148148148148</v>
      </c>
    </row>
    <row r="97" spans="1:15" x14ac:dyDescent="0.3">
      <c r="A97" s="144">
        <v>4</v>
      </c>
      <c r="B97" s="150" t="s">
        <v>160</v>
      </c>
      <c r="C97" s="159">
        <f t="shared" si="22"/>
        <v>0.25929999999999997</v>
      </c>
      <c r="D97" s="161"/>
      <c r="E97" s="144">
        <v>3</v>
      </c>
      <c r="F97" s="150" t="s">
        <v>159</v>
      </c>
      <c r="G97" s="159">
        <f t="shared" si="23"/>
        <v>0.05</v>
      </c>
      <c r="H97" s="161"/>
      <c r="I97" s="145">
        <v>15</v>
      </c>
      <c r="J97" s="153" t="s">
        <v>57</v>
      </c>
      <c r="K97" s="159">
        <f t="shared" si="24"/>
        <v>0.15</v>
      </c>
      <c r="L97" s="161"/>
      <c r="M97" s="145">
        <v>15</v>
      </c>
      <c r="N97" s="153" t="s">
        <v>57</v>
      </c>
      <c r="O97" s="159">
        <f t="shared" si="25"/>
        <v>0.2</v>
      </c>
    </row>
    <row r="98" spans="1:15" x14ac:dyDescent="0.3">
      <c r="A98" s="145">
        <v>5</v>
      </c>
      <c r="B98" s="153" t="s">
        <v>161</v>
      </c>
      <c r="C98" s="160">
        <f t="shared" si="22"/>
        <v>0.28499999999999998</v>
      </c>
      <c r="D98" s="161"/>
      <c r="E98" s="145">
        <v>1</v>
      </c>
      <c r="F98" s="153" t="s">
        <v>157</v>
      </c>
      <c r="G98" s="160">
        <f t="shared" si="23"/>
        <v>0.11899999999999999</v>
      </c>
      <c r="H98" s="161"/>
    </row>
    <row r="99" spans="1:15" s="42" customFormat="1" x14ac:dyDescent="0.3">
      <c r="B99" s="76"/>
      <c r="C99" s="106"/>
      <c r="D99" s="106"/>
      <c r="E99" s="76"/>
      <c r="F99" s="106"/>
    </row>
    <row r="100" spans="1:15" ht="18" x14ac:dyDescent="0.3">
      <c r="B100" s="107" t="s">
        <v>174</v>
      </c>
      <c r="F100" s="107" t="s">
        <v>176</v>
      </c>
    </row>
    <row r="101" spans="1:15" x14ac:dyDescent="0.3">
      <c r="A101" s="246" t="s">
        <v>75</v>
      </c>
      <c r="B101" s="432" t="s">
        <v>173</v>
      </c>
      <c r="C101" s="433"/>
      <c r="D101" s="247"/>
      <c r="E101" s="248" t="s">
        <v>75</v>
      </c>
      <c r="F101" s="431" t="s">
        <v>4</v>
      </c>
      <c r="G101" s="431"/>
      <c r="H101" s="431" t="s">
        <v>5</v>
      </c>
      <c r="I101" s="431"/>
      <c r="J101" s="431" t="s">
        <v>6</v>
      </c>
      <c r="K101" s="431"/>
      <c r="L101" s="431" t="s">
        <v>7</v>
      </c>
      <c r="M101" s="431"/>
    </row>
    <row r="102" spans="1:15" ht="15" customHeight="1" x14ac:dyDescent="0.3">
      <c r="A102" s="249" t="s">
        <v>53</v>
      </c>
      <c r="B102" s="250" t="s">
        <v>1</v>
      </c>
      <c r="C102" s="251" t="s">
        <v>76</v>
      </c>
      <c r="D102" s="247"/>
      <c r="E102" s="252" t="s">
        <v>53</v>
      </c>
      <c r="F102" s="253" t="s">
        <v>1</v>
      </c>
      <c r="G102" s="254" t="s">
        <v>76</v>
      </c>
      <c r="H102" s="255" t="s">
        <v>1</v>
      </c>
      <c r="I102" s="256" t="s">
        <v>76</v>
      </c>
      <c r="J102" s="257" t="s">
        <v>1</v>
      </c>
      <c r="K102" s="254" t="s">
        <v>76</v>
      </c>
      <c r="L102" s="258" t="s">
        <v>1</v>
      </c>
      <c r="M102" s="256" t="s">
        <v>76</v>
      </c>
      <c r="N102" s="47"/>
    </row>
    <row r="103" spans="1:15" x14ac:dyDescent="0.3">
      <c r="A103" s="259" t="s">
        <v>172</v>
      </c>
      <c r="B103" s="260">
        <f>_xlfn.AGGREGATE(4,6,$K$81:$K$97)</f>
        <v>0.15</v>
      </c>
      <c r="C103" s="261">
        <f>_xlfn.AGGREGATE(4,6,$O$81:$O$97)</f>
        <v>0.2</v>
      </c>
      <c r="D103" s="247"/>
      <c r="E103" s="248" t="s">
        <v>172</v>
      </c>
      <c r="F103" s="262">
        <v>0.15</v>
      </c>
      <c r="G103" s="263">
        <v>0.2</v>
      </c>
      <c r="H103" s="262"/>
      <c r="I103" s="263"/>
      <c r="J103" s="264"/>
      <c r="K103" s="263"/>
      <c r="L103" s="265"/>
      <c r="M103" s="263"/>
      <c r="N103" s="47"/>
    </row>
    <row r="104" spans="1:15" x14ac:dyDescent="0.3">
      <c r="A104" s="259" t="s">
        <v>170</v>
      </c>
      <c r="B104" s="260">
        <f>_xlfn.AGGREGATE(5,6,$K$81:$K$97)</f>
        <v>0</v>
      </c>
      <c r="C104" s="261">
        <f>_xlfn.AGGREGATE(5,6,$O$81:$O$97)</f>
        <v>0</v>
      </c>
      <c r="D104" s="247"/>
      <c r="E104" s="248" t="s">
        <v>170</v>
      </c>
      <c r="F104" s="262">
        <v>0</v>
      </c>
      <c r="G104" s="263">
        <v>0</v>
      </c>
      <c r="H104" s="262"/>
      <c r="I104" s="263"/>
      <c r="J104" s="264"/>
      <c r="K104" s="263"/>
      <c r="L104" s="265"/>
      <c r="M104" s="263"/>
      <c r="N104" s="47"/>
    </row>
    <row r="105" spans="1:15" x14ac:dyDescent="0.3">
      <c r="A105" s="266" t="s">
        <v>171</v>
      </c>
      <c r="B105" s="267">
        <f>_xlfn.AGGREGATE(12,6,$K$81:$K$97)</f>
        <v>0</v>
      </c>
      <c r="C105" s="268">
        <f>_xlfn.AGGREGATE(12,6,$O$81:$O$97)</f>
        <v>0</v>
      </c>
      <c r="D105" s="247"/>
      <c r="E105" s="248" t="s">
        <v>171</v>
      </c>
      <c r="F105" s="269">
        <v>0</v>
      </c>
      <c r="G105" s="270">
        <v>0</v>
      </c>
      <c r="H105" s="269"/>
      <c r="I105" s="270"/>
      <c r="J105" s="271"/>
      <c r="K105" s="270"/>
      <c r="L105" s="272"/>
      <c r="M105" s="270"/>
      <c r="N105" s="47"/>
    </row>
    <row r="106" spans="1:15" x14ac:dyDescent="0.3">
      <c r="A106" s="247"/>
      <c r="B106" s="247"/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</row>
    <row r="107" spans="1:15" x14ac:dyDescent="0.3">
      <c r="A107" s="257" t="s">
        <v>77</v>
      </c>
      <c r="B107" s="432" t="s">
        <v>173</v>
      </c>
      <c r="C107" s="433"/>
      <c r="D107" s="247"/>
      <c r="E107" s="273" t="s">
        <v>77</v>
      </c>
      <c r="F107" s="431" t="s">
        <v>4</v>
      </c>
      <c r="G107" s="431"/>
      <c r="H107" s="431" t="s">
        <v>5</v>
      </c>
      <c r="I107" s="431"/>
      <c r="J107" s="431" t="s">
        <v>6</v>
      </c>
      <c r="K107" s="431"/>
      <c r="L107" s="431" t="s">
        <v>7</v>
      </c>
      <c r="M107" s="431"/>
    </row>
    <row r="108" spans="1:15" x14ac:dyDescent="0.3">
      <c r="A108" s="274" t="s">
        <v>12</v>
      </c>
      <c r="B108" s="275" t="s">
        <v>1</v>
      </c>
      <c r="C108" s="276" t="s">
        <v>76</v>
      </c>
      <c r="D108" s="247"/>
      <c r="E108" s="273" t="s">
        <v>12</v>
      </c>
      <c r="F108" s="253" t="s">
        <v>1</v>
      </c>
      <c r="G108" s="254" t="s">
        <v>76</v>
      </c>
      <c r="H108" s="255" t="s">
        <v>1</v>
      </c>
      <c r="I108" s="256" t="s">
        <v>76</v>
      </c>
      <c r="J108" s="257" t="s">
        <v>1</v>
      </c>
      <c r="K108" s="254" t="s">
        <v>76</v>
      </c>
      <c r="L108" s="258" t="s">
        <v>1</v>
      </c>
      <c r="M108" s="256" t="s">
        <v>76</v>
      </c>
    </row>
    <row r="109" spans="1:15" x14ac:dyDescent="0.3">
      <c r="A109" s="259" t="s">
        <v>172</v>
      </c>
      <c r="B109" s="260">
        <f>_xlfn.AGGREGATE(4,6,$C$81:$C$98)</f>
        <v>0.28499999999999998</v>
      </c>
      <c r="C109" s="261">
        <f>_xlfn.AGGREGATE(4,6,$G$81:$G$98)</f>
        <v>0.11899999999999999</v>
      </c>
      <c r="D109" s="247"/>
      <c r="E109" s="248" t="s">
        <v>172</v>
      </c>
      <c r="F109" s="262">
        <v>0.28999999999999998</v>
      </c>
      <c r="G109" s="263">
        <v>0.12</v>
      </c>
      <c r="H109" s="262"/>
      <c r="I109" s="263"/>
      <c r="J109" s="264"/>
      <c r="K109" s="263"/>
      <c r="L109" s="265"/>
      <c r="M109" s="263"/>
    </row>
    <row r="110" spans="1:15" x14ac:dyDescent="0.3">
      <c r="A110" s="259" t="s">
        <v>170</v>
      </c>
      <c r="B110" s="260">
        <f>_xlfn.AGGREGATE(5,6,$C$81:$C$98)</f>
        <v>0</v>
      </c>
      <c r="C110" s="261">
        <f>_xlfn.AGGREGATE(5,6,$G$81:$G$98)</f>
        <v>0</v>
      </c>
      <c r="D110" s="247"/>
      <c r="E110" s="248" t="s">
        <v>170</v>
      </c>
      <c r="F110" s="262">
        <v>0</v>
      </c>
      <c r="G110" s="263">
        <v>0</v>
      </c>
      <c r="H110" s="262"/>
      <c r="I110" s="263"/>
      <c r="J110" s="264"/>
      <c r="K110" s="263"/>
      <c r="L110" s="265"/>
      <c r="M110" s="263"/>
    </row>
    <row r="111" spans="1:15" x14ac:dyDescent="0.3">
      <c r="A111" s="266" t="s">
        <v>171</v>
      </c>
      <c r="B111" s="267">
        <f>_xlfn.AGGREGATE(12,6,$C$81:$C$98)</f>
        <v>8.0500000000000002E-2</v>
      </c>
      <c r="C111" s="268">
        <f>_xlfn.AGGREGATE(12,6,$G$81:$G$98)</f>
        <v>0.01</v>
      </c>
      <c r="D111" s="247"/>
      <c r="E111" s="248" t="s">
        <v>171</v>
      </c>
      <c r="F111" s="269">
        <v>0.08</v>
      </c>
      <c r="G111" s="270">
        <v>0.01</v>
      </c>
      <c r="H111" s="269"/>
      <c r="I111" s="270"/>
      <c r="J111" s="271"/>
      <c r="K111" s="270"/>
      <c r="L111" s="272"/>
      <c r="M111" s="270"/>
    </row>
  </sheetData>
  <sortState xmlns:xlrd2="http://schemas.microsoft.com/office/spreadsheetml/2017/richdata2" ref="M86:O97">
    <sortCondition ref="O86:O97"/>
  </sortState>
  <mergeCells count="10">
    <mergeCell ref="B101:C101"/>
    <mergeCell ref="B107:C107"/>
    <mergeCell ref="F101:G101"/>
    <mergeCell ref="H101:I101"/>
    <mergeCell ref="J101:K101"/>
    <mergeCell ref="L101:M101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P111"/>
  <sheetViews>
    <sheetView zoomScale="90" zoomScaleNormal="90" workbookViewId="0">
      <selection activeCell="T98" sqref="T98"/>
    </sheetView>
  </sheetViews>
  <sheetFormatPr defaultColWidth="8.6640625" defaultRowHeight="14.4" x14ac:dyDescent="0.3"/>
  <cols>
    <col min="1" max="16" width="12.33203125" style="33" customWidth="1"/>
    <col min="17" max="16384" width="8.6640625" style="33"/>
  </cols>
  <sheetData>
    <row r="1" spans="1:12" ht="23.4" x14ac:dyDescent="0.45">
      <c r="A1" s="105" t="s">
        <v>186</v>
      </c>
      <c r="B1" s="167" t="s">
        <v>184</v>
      </c>
    </row>
    <row r="3" spans="1:12" x14ac:dyDescent="0.3">
      <c r="A3" s="198"/>
      <c r="B3" s="34" t="s">
        <v>147</v>
      </c>
      <c r="E3" s="198"/>
    </row>
    <row r="4" spans="1:12" x14ac:dyDescent="0.3">
      <c r="A4" s="198"/>
      <c r="B4" s="34" t="s">
        <v>148</v>
      </c>
      <c r="E4" s="198"/>
    </row>
    <row r="5" spans="1:12" x14ac:dyDescent="0.3">
      <c r="A5" s="198"/>
      <c r="B5" s="34" t="s">
        <v>149</v>
      </c>
      <c r="E5" s="198"/>
    </row>
    <row r="6" spans="1:12" s="102" customFormat="1" ht="21" x14ac:dyDescent="0.4">
      <c r="A6" s="199"/>
      <c r="B6" s="101" t="s">
        <v>106</v>
      </c>
      <c r="E6" s="199"/>
    </row>
    <row r="7" spans="1:12" s="104" customFormat="1" ht="43.5" customHeight="1" x14ac:dyDescent="0.4">
      <c r="A7" s="200"/>
      <c r="B7" s="105" t="s">
        <v>156</v>
      </c>
      <c r="E7" s="200"/>
    </row>
    <row r="8" spans="1:12" x14ac:dyDescent="0.3">
      <c r="B8" s="34" t="s">
        <v>185</v>
      </c>
      <c r="H8" s="198"/>
      <c r="I8" s="201" t="s">
        <v>53</v>
      </c>
      <c r="J8" s="198"/>
      <c r="K8" s="198"/>
      <c r="L8" s="198"/>
    </row>
    <row r="9" spans="1:12" ht="28.8" x14ac:dyDescent="0.3">
      <c r="A9" s="143"/>
      <c r="B9" s="156"/>
      <c r="C9" s="148" t="s">
        <v>9</v>
      </c>
      <c r="D9" s="148" t="s">
        <v>17</v>
      </c>
      <c r="E9" s="149" t="s">
        <v>33</v>
      </c>
      <c r="H9" s="143"/>
      <c r="I9" s="139"/>
      <c r="J9" s="148" t="s">
        <v>9</v>
      </c>
      <c r="K9" s="148" t="s">
        <v>17</v>
      </c>
      <c r="L9" s="149" t="s">
        <v>33</v>
      </c>
    </row>
    <row r="10" spans="1:12" x14ac:dyDescent="0.3">
      <c r="A10" s="144">
        <v>9</v>
      </c>
      <c r="B10" s="150" t="s">
        <v>58</v>
      </c>
      <c r="C10" s="151" t="e">
        <f t="shared" ref="C10:C27" si="0">IF(INDEX(Q2_Paeds,4+$A10,7)="No data",NA(),INDEX(Q2_Paeds,4+$A10,7))</f>
        <v>#N/A</v>
      </c>
      <c r="D10" s="151" t="e">
        <f t="shared" ref="D10:D27" si="1">IF(INDEX(Q2_Paeds,4+$A10,8)="No data",NA(),INDEX(Q2_Paeds,4+$A10,8))</f>
        <v>#N/A</v>
      </c>
      <c r="E10" s="152" t="e">
        <f t="shared" ref="E10:E27" si="2">MAX(C10:D10)</f>
        <v>#N/A</v>
      </c>
      <c r="H10" s="144">
        <v>6</v>
      </c>
      <c r="I10" s="150" t="s">
        <v>165</v>
      </c>
      <c r="J10" s="151" t="e">
        <f t="shared" ref="J10" si="3">IF(INDEX(Q2_Adult,4+$H10,7)="No data",NA(),INDEX(Q2_Adult,4+$H10,7))</f>
        <v>#N/A</v>
      </c>
      <c r="K10" s="151" t="e">
        <f t="shared" ref="K10" si="4">IF(INDEX(Q2_Adult,4+$H10,8)="No data",NA(),INDEX(Q2_Adult,4+$H10,8))</f>
        <v>#N/A</v>
      </c>
      <c r="L10" s="152" t="e">
        <f t="shared" ref="L10" si="5">MAX(J10:K10)</f>
        <v>#N/A</v>
      </c>
    </row>
    <row r="11" spans="1:12" x14ac:dyDescent="0.3">
      <c r="A11" s="144">
        <v>13</v>
      </c>
      <c r="B11" s="150" t="s">
        <v>56</v>
      </c>
      <c r="C11" s="151" t="e">
        <f t="shared" si="0"/>
        <v>#N/A</v>
      </c>
      <c r="D11" s="151" t="e">
        <f t="shared" si="1"/>
        <v>#N/A</v>
      </c>
      <c r="E11" s="152" t="e">
        <f t="shared" si="2"/>
        <v>#N/A</v>
      </c>
      <c r="H11" s="144">
        <v>11</v>
      </c>
      <c r="I11" s="150" t="s">
        <v>60</v>
      </c>
      <c r="J11" s="151" t="e">
        <f t="shared" ref="J11:J26" si="6">IF(INDEX(Q2_Adult,4+$H11,7)="No data",NA(),INDEX(Q2_Adult,4+$H11,7))</f>
        <v>#N/A</v>
      </c>
      <c r="K11" s="151" t="e">
        <f t="shared" ref="K11:K26" si="7">IF(INDEX(Q2_Adult,4+$H11,8)="No data",NA(),INDEX(Q2_Adult,4+$H11,8))</f>
        <v>#N/A</v>
      </c>
      <c r="L11" s="152" t="e">
        <f t="shared" ref="L11:L26" si="8">MAX(J11:K11)</f>
        <v>#N/A</v>
      </c>
    </row>
    <row r="12" spans="1:12" x14ac:dyDescent="0.3">
      <c r="A12" s="144">
        <v>14</v>
      </c>
      <c r="B12" s="150" t="s">
        <v>61</v>
      </c>
      <c r="C12" s="151" t="e">
        <f t="shared" si="0"/>
        <v>#N/A</v>
      </c>
      <c r="D12" s="151" t="e">
        <f t="shared" si="1"/>
        <v>#N/A</v>
      </c>
      <c r="E12" s="152" t="e">
        <f t="shared" si="2"/>
        <v>#N/A</v>
      </c>
      <c r="H12" s="144">
        <v>14</v>
      </c>
      <c r="I12" s="150" t="s">
        <v>52</v>
      </c>
      <c r="J12" s="151" t="e">
        <f t="shared" si="6"/>
        <v>#N/A</v>
      </c>
      <c r="K12" s="151" t="e">
        <f t="shared" si="7"/>
        <v>#N/A</v>
      </c>
      <c r="L12" s="152" t="e">
        <f t="shared" si="8"/>
        <v>#N/A</v>
      </c>
    </row>
    <row r="13" spans="1:12" x14ac:dyDescent="0.3">
      <c r="A13" s="144">
        <v>3</v>
      </c>
      <c r="B13" s="150" t="s">
        <v>159</v>
      </c>
      <c r="C13" s="151">
        <f t="shared" si="0"/>
        <v>0</v>
      </c>
      <c r="D13" s="151">
        <f t="shared" si="1"/>
        <v>0</v>
      </c>
      <c r="E13" s="152">
        <f t="shared" si="2"/>
        <v>0</v>
      </c>
      <c r="H13" s="144">
        <v>17</v>
      </c>
      <c r="I13" s="150" t="s">
        <v>62</v>
      </c>
      <c r="J13" s="151" t="e">
        <f t="shared" si="6"/>
        <v>#N/A</v>
      </c>
      <c r="K13" s="151" t="e">
        <f t="shared" si="7"/>
        <v>#N/A</v>
      </c>
      <c r="L13" s="152" t="e">
        <f t="shared" si="8"/>
        <v>#N/A</v>
      </c>
    </row>
    <row r="14" spans="1:12" x14ac:dyDescent="0.3">
      <c r="A14" s="144">
        <v>15</v>
      </c>
      <c r="B14" s="150" t="s">
        <v>52</v>
      </c>
      <c r="C14" s="151">
        <f t="shared" si="0"/>
        <v>0</v>
      </c>
      <c r="D14" s="151">
        <f t="shared" si="1"/>
        <v>0</v>
      </c>
      <c r="E14" s="152">
        <f t="shared" si="2"/>
        <v>0</v>
      </c>
      <c r="H14" s="144">
        <v>1</v>
      </c>
      <c r="I14" s="150" t="s">
        <v>157</v>
      </c>
      <c r="J14" s="151">
        <f t="shared" si="6"/>
        <v>0</v>
      </c>
      <c r="K14" s="151">
        <f t="shared" si="7"/>
        <v>0</v>
      </c>
      <c r="L14" s="152">
        <f t="shared" si="8"/>
        <v>0</v>
      </c>
    </row>
    <row r="15" spans="1:12" x14ac:dyDescent="0.3">
      <c r="A15" s="144">
        <v>17</v>
      </c>
      <c r="B15" s="150" t="s">
        <v>54</v>
      </c>
      <c r="C15" s="151">
        <f t="shared" si="0"/>
        <v>4</v>
      </c>
      <c r="D15" s="151">
        <f t="shared" si="1"/>
        <v>4</v>
      </c>
      <c r="E15" s="152">
        <f t="shared" si="2"/>
        <v>4</v>
      </c>
      <c r="H15" s="144">
        <v>3</v>
      </c>
      <c r="I15" s="150" t="s">
        <v>159</v>
      </c>
      <c r="J15" s="151">
        <f t="shared" si="6"/>
        <v>0</v>
      </c>
      <c r="K15" s="151">
        <f t="shared" si="7"/>
        <v>0</v>
      </c>
      <c r="L15" s="152">
        <f t="shared" si="8"/>
        <v>0</v>
      </c>
    </row>
    <row r="16" spans="1:12" x14ac:dyDescent="0.3">
      <c r="A16" s="144">
        <v>8</v>
      </c>
      <c r="B16" s="150" t="s">
        <v>162</v>
      </c>
      <c r="C16" s="151">
        <f t="shared" si="0"/>
        <v>6.33</v>
      </c>
      <c r="D16" s="151">
        <f t="shared" si="1"/>
        <v>9.2899999999999991</v>
      </c>
      <c r="E16" s="152">
        <f t="shared" si="2"/>
        <v>9.2899999999999991</v>
      </c>
      <c r="H16" s="144">
        <v>4</v>
      </c>
      <c r="I16" s="150" t="s">
        <v>160</v>
      </c>
      <c r="J16" s="151">
        <f t="shared" si="6"/>
        <v>0</v>
      </c>
      <c r="K16" s="151">
        <f t="shared" si="7"/>
        <v>0</v>
      </c>
      <c r="L16" s="152">
        <f t="shared" si="8"/>
        <v>0</v>
      </c>
    </row>
    <row r="17" spans="1:16" x14ac:dyDescent="0.3">
      <c r="A17" s="144">
        <v>18</v>
      </c>
      <c r="B17" s="150" t="s">
        <v>62</v>
      </c>
      <c r="C17" s="151">
        <f t="shared" si="0"/>
        <v>7</v>
      </c>
      <c r="D17" s="151">
        <f t="shared" si="1"/>
        <v>10</v>
      </c>
      <c r="E17" s="152">
        <f t="shared" si="2"/>
        <v>10</v>
      </c>
      <c r="H17" s="144">
        <v>5</v>
      </c>
      <c r="I17" s="150" t="s">
        <v>161</v>
      </c>
      <c r="J17" s="151">
        <f t="shared" si="6"/>
        <v>0</v>
      </c>
      <c r="K17" s="151">
        <f t="shared" si="7"/>
        <v>0</v>
      </c>
      <c r="L17" s="152">
        <f t="shared" si="8"/>
        <v>0</v>
      </c>
    </row>
    <row r="18" spans="1:16" x14ac:dyDescent="0.3">
      <c r="A18" s="144">
        <v>4</v>
      </c>
      <c r="B18" s="150" t="s">
        <v>160</v>
      </c>
      <c r="C18" s="151">
        <f t="shared" si="0"/>
        <v>13</v>
      </c>
      <c r="D18" s="151">
        <f t="shared" si="1"/>
        <v>3</v>
      </c>
      <c r="E18" s="152">
        <f t="shared" si="2"/>
        <v>13</v>
      </c>
      <c r="H18" s="144">
        <v>7</v>
      </c>
      <c r="I18" s="150" t="s">
        <v>166</v>
      </c>
      <c r="J18" s="151">
        <f t="shared" si="6"/>
        <v>0</v>
      </c>
      <c r="K18" s="151">
        <f t="shared" si="7"/>
        <v>0</v>
      </c>
      <c r="L18" s="152">
        <f t="shared" si="8"/>
        <v>0</v>
      </c>
    </row>
    <row r="19" spans="1:16" x14ac:dyDescent="0.3">
      <c r="A19" s="144">
        <v>5</v>
      </c>
      <c r="B19" s="150" t="s">
        <v>161</v>
      </c>
      <c r="C19" s="151">
        <f t="shared" si="0"/>
        <v>14</v>
      </c>
      <c r="D19" s="151">
        <f t="shared" si="1"/>
        <v>14</v>
      </c>
      <c r="E19" s="152">
        <f t="shared" si="2"/>
        <v>14</v>
      </c>
      <c r="H19" s="144">
        <v>15</v>
      </c>
      <c r="I19" s="150" t="s">
        <v>57</v>
      </c>
      <c r="J19" s="151">
        <f t="shared" si="6"/>
        <v>2</v>
      </c>
      <c r="K19" s="151">
        <f t="shared" si="7"/>
        <v>8</v>
      </c>
      <c r="L19" s="152">
        <f t="shared" si="8"/>
        <v>8</v>
      </c>
    </row>
    <row r="20" spans="1:16" x14ac:dyDescent="0.3">
      <c r="A20" s="144">
        <v>2</v>
      </c>
      <c r="B20" s="150" t="s">
        <v>158</v>
      </c>
      <c r="C20" s="151">
        <f t="shared" si="0"/>
        <v>17</v>
      </c>
      <c r="D20" s="151">
        <f t="shared" si="1"/>
        <v>0</v>
      </c>
      <c r="E20" s="152">
        <f t="shared" si="2"/>
        <v>17</v>
      </c>
      <c r="H20" s="144">
        <v>8</v>
      </c>
      <c r="I20" s="150" t="s">
        <v>162</v>
      </c>
      <c r="J20" s="151">
        <f t="shared" si="6"/>
        <v>3</v>
      </c>
      <c r="K20" s="151">
        <f t="shared" si="7"/>
        <v>0</v>
      </c>
      <c r="L20" s="152">
        <f t="shared" si="8"/>
        <v>3</v>
      </c>
    </row>
    <row r="21" spans="1:16" x14ac:dyDescent="0.3">
      <c r="A21" s="144">
        <v>12</v>
      </c>
      <c r="B21" s="150" t="s">
        <v>60</v>
      </c>
      <c r="C21" s="151">
        <f t="shared" si="0"/>
        <v>19</v>
      </c>
      <c r="D21" s="151">
        <f t="shared" si="1"/>
        <v>15</v>
      </c>
      <c r="E21" s="152">
        <f t="shared" si="2"/>
        <v>19</v>
      </c>
      <c r="H21" s="144">
        <v>16</v>
      </c>
      <c r="I21" s="150" t="s">
        <v>54</v>
      </c>
      <c r="J21" s="151">
        <f t="shared" si="6"/>
        <v>5</v>
      </c>
      <c r="K21" s="151">
        <f t="shared" si="7"/>
        <v>0</v>
      </c>
      <c r="L21" s="152">
        <f t="shared" si="8"/>
        <v>5</v>
      </c>
      <c r="P21" s="33" t="s">
        <v>55</v>
      </c>
    </row>
    <row r="22" spans="1:16" x14ac:dyDescent="0.3">
      <c r="A22" s="144">
        <v>7</v>
      </c>
      <c r="B22" s="150" t="s">
        <v>166</v>
      </c>
      <c r="C22" s="151">
        <f t="shared" si="0"/>
        <v>10</v>
      </c>
      <c r="D22" s="151">
        <f t="shared" si="1"/>
        <v>20</v>
      </c>
      <c r="E22" s="152">
        <f t="shared" si="2"/>
        <v>20</v>
      </c>
      <c r="H22" s="144">
        <v>12</v>
      </c>
      <c r="I22" s="150" t="s">
        <v>56</v>
      </c>
      <c r="J22" s="151">
        <f t="shared" si="6"/>
        <v>12</v>
      </c>
      <c r="K22" s="151">
        <f t="shared" si="7"/>
        <v>12</v>
      </c>
      <c r="L22" s="152">
        <f t="shared" si="8"/>
        <v>12</v>
      </c>
    </row>
    <row r="23" spans="1:16" x14ac:dyDescent="0.3">
      <c r="A23" s="144">
        <v>1</v>
      </c>
      <c r="B23" s="150" t="s">
        <v>157</v>
      </c>
      <c r="C23" s="151">
        <f t="shared" si="0"/>
        <v>30</v>
      </c>
      <c r="D23" s="151">
        <f t="shared" si="1"/>
        <v>12</v>
      </c>
      <c r="E23" s="152">
        <f t="shared" si="2"/>
        <v>30</v>
      </c>
      <c r="H23" s="144">
        <v>2</v>
      </c>
      <c r="I23" s="150" t="s">
        <v>158</v>
      </c>
      <c r="J23" s="151">
        <f t="shared" si="6"/>
        <v>24</v>
      </c>
      <c r="K23" s="151">
        <f t="shared" si="7"/>
        <v>0</v>
      </c>
      <c r="L23" s="152">
        <f t="shared" si="8"/>
        <v>24</v>
      </c>
    </row>
    <row r="24" spans="1:16" x14ac:dyDescent="0.3">
      <c r="A24" s="144">
        <v>10</v>
      </c>
      <c r="B24" s="150" t="s">
        <v>59</v>
      </c>
      <c r="C24" s="151">
        <f t="shared" si="0"/>
        <v>39</v>
      </c>
      <c r="D24" s="151">
        <f t="shared" si="1"/>
        <v>6</v>
      </c>
      <c r="E24" s="152">
        <f t="shared" si="2"/>
        <v>39</v>
      </c>
      <c r="H24" s="144">
        <v>9</v>
      </c>
      <c r="I24" s="150" t="s">
        <v>58</v>
      </c>
      <c r="J24" s="151">
        <f t="shared" si="6"/>
        <v>32</v>
      </c>
      <c r="K24" s="151">
        <f t="shared" si="7"/>
        <v>32</v>
      </c>
      <c r="L24" s="152">
        <f t="shared" si="8"/>
        <v>32</v>
      </c>
    </row>
    <row r="25" spans="1:16" x14ac:dyDescent="0.3">
      <c r="A25" s="144">
        <v>16</v>
      </c>
      <c r="B25" s="150" t="s">
        <v>57</v>
      </c>
      <c r="C25" s="151">
        <f t="shared" si="0"/>
        <v>46</v>
      </c>
      <c r="D25" s="151">
        <f t="shared" si="1"/>
        <v>46</v>
      </c>
      <c r="E25" s="152">
        <f t="shared" si="2"/>
        <v>46</v>
      </c>
      <c r="H25" s="144">
        <v>10</v>
      </c>
      <c r="I25" s="150" t="s">
        <v>196</v>
      </c>
      <c r="J25" s="151">
        <f t="shared" si="6"/>
        <v>34</v>
      </c>
      <c r="K25" s="151">
        <f t="shared" si="7"/>
        <v>0</v>
      </c>
      <c r="L25" s="152">
        <f t="shared" si="8"/>
        <v>34</v>
      </c>
    </row>
    <row r="26" spans="1:16" x14ac:dyDescent="0.3">
      <c r="A26" s="144">
        <v>6</v>
      </c>
      <c r="B26" s="150" t="s">
        <v>165</v>
      </c>
      <c r="C26" s="151">
        <f t="shared" si="0"/>
        <v>4</v>
      </c>
      <c r="D26" s="151">
        <f t="shared" si="1"/>
        <v>52</v>
      </c>
      <c r="E26" s="152">
        <f t="shared" si="2"/>
        <v>52</v>
      </c>
      <c r="H26" s="145">
        <v>13</v>
      </c>
      <c r="I26" s="153" t="s">
        <v>61</v>
      </c>
      <c r="J26" s="151">
        <f t="shared" si="6"/>
        <v>34</v>
      </c>
      <c r="K26" s="151">
        <f t="shared" si="7"/>
        <v>0</v>
      </c>
      <c r="L26" s="152">
        <f t="shared" si="8"/>
        <v>34</v>
      </c>
    </row>
    <row r="27" spans="1:16" x14ac:dyDescent="0.3">
      <c r="A27" s="145">
        <v>11</v>
      </c>
      <c r="B27" s="153" t="s">
        <v>208</v>
      </c>
      <c r="C27" s="154">
        <f t="shared" si="0"/>
        <v>70</v>
      </c>
      <c r="D27" s="154">
        <f t="shared" si="1"/>
        <v>0</v>
      </c>
      <c r="E27" s="155">
        <f t="shared" si="2"/>
        <v>70</v>
      </c>
    </row>
    <row r="31" spans="1:16" s="103" customFormat="1" ht="18" x14ac:dyDescent="0.35">
      <c r="B31" s="103" t="s">
        <v>107</v>
      </c>
    </row>
    <row r="32" spans="1:16" s="104" customFormat="1" ht="43.5" customHeight="1" x14ac:dyDescent="0.4">
      <c r="B32" s="105" t="s">
        <v>156</v>
      </c>
    </row>
    <row r="33" spans="1:13" x14ac:dyDescent="0.3">
      <c r="B33" s="46"/>
      <c r="C33" s="238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5" customHeight="1" x14ac:dyDescent="0.3">
      <c r="A34" s="42"/>
      <c r="B34" s="135" t="s">
        <v>72</v>
      </c>
      <c r="C34" s="42"/>
      <c r="D34" s="42"/>
      <c r="E34" s="42"/>
      <c r="F34" s="135"/>
      <c r="G34" s="135"/>
      <c r="H34" s="46"/>
      <c r="I34" s="135" t="s">
        <v>70</v>
      </c>
      <c r="J34" s="137"/>
      <c r="K34" s="138"/>
      <c r="L34" s="138"/>
      <c r="M34" s="138"/>
    </row>
    <row r="35" spans="1:13" x14ac:dyDescent="0.3">
      <c r="A35" s="143"/>
      <c r="B35" s="139"/>
      <c r="C35" s="139" t="s">
        <v>93</v>
      </c>
      <c r="D35" s="139" t="s">
        <v>94</v>
      </c>
      <c r="E35" s="139" t="s">
        <v>36</v>
      </c>
      <c r="F35" s="140" t="s">
        <v>182</v>
      </c>
      <c r="G35" s="135"/>
      <c r="H35" s="143"/>
      <c r="I35" s="139"/>
      <c r="J35" s="139" t="s">
        <v>93</v>
      </c>
      <c r="K35" s="139" t="s">
        <v>94</v>
      </c>
      <c r="L35" s="139" t="s">
        <v>36</v>
      </c>
      <c r="M35" s="140" t="s">
        <v>182</v>
      </c>
    </row>
    <row r="36" spans="1:13" x14ac:dyDescent="0.3">
      <c r="A36" s="144">
        <v>9</v>
      </c>
      <c r="B36" s="150" t="s">
        <v>58</v>
      </c>
      <c r="C36" s="151" t="e">
        <f t="shared" ref="C36:C53" si="9">IF(INDEX(Q2_Paeds,4+$A36,10)="No data",NA(),INDEX(Q2_Paeds,4+$A36,10))</f>
        <v>#N/A</v>
      </c>
      <c r="D36" s="151" t="e">
        <f t="shared" ref="D36:D53" si="10">IF(INDEX(Q2_Paeds,4+$A36,11)="No data",NA(),INDEX(Q2_Paeds,4+$A36,11))</f>
        <v>#N/A</v>
      </c>
      <c r="E36" s="151" t="e">
        <f t="shared" ref="E36:E53" si="11">IF(INDEX(Q2_Paeds,4+$A36,12)="No data",NA(),INDEX(Q2_Paeds,4+$A36,12))</f>
        <v>#N/A</v>
      </c>
      <c r="F36" s="141" t="e">
        <f t="shared" ref="F36:F53" si="12">SUM(C36:E36)</f>
        <v>#N/A</v>
      </c>
      <c r="G36" s="136"/>
      <c r="H36" s="144">
        <v>6</v>
      </c>
      <c r="I36" s="150" t="s">
        <v>165</v>
      </c>
      <c r="J36" s="151" t="e">
        <f t="shared" ref="J36:J52" si="13">IF(INDEX(Q2_Adult,4+$H36,10)="No data",NA(),INDEX(Q2_Adult,4+$H36,10))</f>
        <v>#N/A</v>
      </c>
      <c r="K36" s="151" t="e">
        <f t="shared" ref="K36:K52" si="14">IF(INDEX(Q2_Adult,4+$H36,11)="No data",NA(),INDEX(Q2_Adult,4+$H36,11))</f>
        <v>#N/A</v>
      </c>
      <c r="L36" s="151" t="e">
        <f t="shared" ref="L36:L52" si="15">IF(INDEX(Q2_Adult,4+$H36,12)="No data",NA(),INDEX(Q2_Adult,4+$H36,12))</f>
        <v>#N/A</v>
      </c>
      <c r="M36" s="141" t="e">
        <f t="shared" ref="M36:M52" si="16">SUM(J36:L36)</f>
        <v>#N/A</v>
      </c>
    </row>
    <row r="37" spans="1:13" x14ac:dyDescent="0.3">
      <c r="A37" s="144">
        <v>13</v>
      </c>
      <c r="B37" s="150" t="s">
        <v>56</v>
      </c>
      <c r="C37" s="151" t="e">
        <f t="shared" si="9"/>
        <v>#N/A</v>
      </c>
      <c r="D37" s="151" t="e">
        <f t="shared" si="10"/>
        <v>#N/A</v>
      </c>
      <c r="E37" s="151" t="e">
        <f t="shared" si="11"/>
        <v>#N/A</v>
      </c>
      <c r="F37" s="141" t="e">
        <f t="shared" si="12"/>
        <v>#N/A</v>
      </c>
      <c r="G37" s="136"/>
      <c r="H37" s="144">
        <v>11</v>
      </c>
      <c r="I37" s="150" t="s">
        <v>60</v>
      </c>
      <c r="J37" s="151" t="e">
        <f t="shared" si="13"/>
        <v>#N/A</v>
      </c>
      <c r="K37" s="151" t="e">
        <f t="shared" si="14"/>
        <v>#N/A</v>
      </c>
      <c r="L37" s="151" t="e">
        <f t="shared" si="15"/>
        <v>#N/A</v>
      </c>
      <c r="M37" s="141" t="e">
        <f t="shared" si="16"/>
        <v>#N/A</v>
      </c>
    </row>
    <row r="38" spans="1:13" x14ac:dyDescent="0.3">
      <c r="A38" s="144">
        <v>14</v>
      </c>
      <c r="B38" s="150" t="s">
        <v>61</v>
      </c>
      <c r="C38" s="151" t="e">
        <f t="shared" si="9"/>
        <v>#N/A</v>
      </c>
      <c r="D38" s="151" t="e">
        <f t="shared" si="10"/>
        <v>#N/A</v>
      </c>
      <c r="E38" s="151" t="e">
        <f t="shared" si="11"/>
        <v>#N/A</v>
      </c>
      <c r="F38" s="141" t="e">
        <f t="shared" si="12"/>
        <v>#N/A</v>
      </c>
      <c r="G38" s="136"/>
      <c r="H38" s="144">
        <v>14</v>
      </c>
      <c r="I38" s="150" t="s">
        <v>52</v>
      </c>
      <c r="J38" s="151" t="e">
        <f t="shared" si="13"/>
        <v>#N/A</v>
      </c>
      <c r="K38" s="151" t="e">
        <f t="shared" si="14"/>
        <v>#N/A</v>
      </c>
      <c r="L38" s="151" t="e">
        <f t="shared" si="15"/>
        <v>#N/A</v>
      </c>
      <c r="M38" s="141" t="e">
        <f t="shared" si="16"/>
        <v>#N/A</v>
      </c>
    </row>
    <row r="39" spans="1:13" x14ac:dyDescent="0.3">
      <c r="A39" s="144">
        <v>3</v>
      </c>
      <c r="B39" s="150" t="s">
        <v>159</v>
      </c>
      <c r="C39" s="151">
        <f t="shared" si="9"/>
        <v>0</v>
      </c>
      <c r="D39" s="151">
        <f t="shared" si="10"/>
        <v>0</v>
      </c>
      <c r="E39" s="151">
        <f t="shared" si="11"/>
        <v>0</v>
      </c>
      <c r="F39" s="141">
        <f t="shared" si="12"/>
        <v>0</v>
      </c>
      <c r="G39" s="136"/>
      <c r="H39" s="144">
        <v>17</v>
      </c>
      <c r="I39" s="150" t="s">
        <v>62</v>
      </c>
      <c r="J39" s="151" t="e">
        <f t="shared" si="13"/>
        <v>#N/A</v>
      </c>
      <c r="K39" s="151" t="e">
        <f t="shared" si="14"/>
        <v>#N/A</v>
      </c>
      <c r="L39" s="151" t="e">
        <f t="shared" si="15"/>
        <v>#N/A</v>
      </c>
      <c r="M39" s="141" t="e">
        <f t="shared" si="16"/>
        <v>#N/A</v>
      </c>
    </row>
    <row r="40" spans="1:13" x14ac:dyDescent="0.3">
      <c r="A40" s="144">
        <v>4</v>
      </c>
      <c r="B40" s="150" t="s">
        <v>160</v>
      </c>
      <c r="C40" s="151">
        <f t="shared" si="9"/>
        <v>0</v>
      </c>
      <c r="D40" s="151">
        <f t="shared" si="10"/>
        <v>0</v>
      </c>
      <c r="E40" s="151">
        <f t="shared" si="11"/>
        <v>0</v>
      </c>
      <c r="F40" s="141">
        <f t="shared" si="12"/>
        <v>0</v>
      </c>
      <c r="G40" s="136"/>
      <c r="H40" s="144">
        <v>1</v>
      </c>
      <c r="I40" s="150" t="s">
        <v>157</v>
      </c>
      <c r="J40" s="151">
        <f t="shared" si="13"/>
        <v>0</v>
      </c>
      <c r="K40" s="151">
        <f t="shared" si="14"/>
        <v>0</v>
      </c>
      <c r="L40" s="151">
        <f t="shared" si="15"/>
        <v>0</v>
      </c>
      <c r="M40" s="141">
        <f t="shared" si="16"/>
        <v>0</v>
      </c>
    </row>
    <row r="41" spans="1:13" x14ac:dyDescent="0.3">
      <c r="A41" s="144">
        <v>6</v>
      </c>
      <c r="B41" s="150" t="s">
        <v>165</v>
      </c>
      <c r="C41" s="151">
        <f t="shared" si="9"/>
        <v>0</v>
      </c>
      <c r="D41" s="151">
        <f t="shared" si="10"/>
        <v>0</v>
      </c>
      <c r="E41" s="151">
        <f t="shared" si="11"/>
        <v>0</v>
      </c>
      <c r="F41" s="141">
        <f t="shared" si="12"/>
        <v>0</v>
      </c>
      <c r="G41" s="136"/>
      <c r="H41" s="144">
        <v>3</v>
      </c>
      <c r="I41" s="150" t="s">
        <v>159</v>
      </c>
      <c r="J41" s="151">
        <f t="shared" si="13"/>
        <v>0</v>
      </c>
      <c r="K41" s="151">
        <f t="shared" si="14"/>
        <v>0</v>
      </c>
      <c r="L41" s="151">
        <f t="shared" si="15"/>
        <v>0</v>
      </c>
      <c r="M41" s="141">
        <f t="shared" si="16"/>
        <v>0</v>
      </c>
    </row>
    <row r="42" spans="1:13" x14ac:dyDescent="0.3">
      <c r="A42" s="144">
        <v>15</v>
      </c>
      <c r="B42" s="150" t="s">
        <v>52</v>
      </c>
      <c r="C42" s="151">
        <f t="shared" si="9"/>
        <v>0</v>
      </c>
      <c r="D42" s="151">
        <f t="shared" si="10"/>
        <v>0</v>
      </c>
      <c r="E42" s="151">
        <f t="shared" si="11"/>
        <v>0</v>
      </c>
      <c r="F42" s="141">
        <f t="shared" si="12"/>
        <v>0</v>
      </c>
      <c r="G42" s="136"/>
      <c r="H42" s="144">
        <v>4</v>
      </c>
      <c r="I42" s="150" t="s">
        <v>160</v>
      </c>
      <c r="J42" s="151">
        <f t="shared" si="13"/>
        <v>0</v>
      </c>
      <c r="K42" s="151">
        <f t="shared" si="14"/>
        <v>0</v>
      </c>
      <c r="L42" s="151">
        <f t="shared" si="15"/>
        <v>0</v>
      </c>
      <c r="M42" s="141">
        <f t="shared" si="16"/>
        <v>0</v>
      </c>
    </row>
    <row r="43" spans="1:13" x14ac:dyDescent="0.3">
      <c r="A43" s="144">
        <v>18</v>
      </c>
      <c r="B43" s="150" t="s">
        <v>62</v>
      </c>
      <c r="C43" s="151">
        <f t="shared" si="9"/>
        <v>0</v>
      </c>
      <c r="D43" s="151">
        <f t="shared" si="10"/>
        <v>0</v>
      </c>
      <c r="E43" s="151">
        <f t="shared" si="11"/>
        <v>0</v>
      </c>
      <c r="F43" s="141">
        <f t="shared" si="12"/>
        <v>0</v>
      </c>
      <c r="G43" s="136"/>
      <c r="H43" s="144">
        <v>5</v>
      </c>
      <c r="I43" s="150" t="s">
        <v>161</v>
      </c>
      <c r="J43" s="151">
        <f t="shared" si="13"/>
        <v>0</v>
      </c>
      <c r="K43" s="151">
        <f t="shared" si="14"/>
        <v>0</v>
      </c>
      <c r="L43" s="151">
        <f t="shared" si="15"/>
        <v>0</v>
      </c>
      <c r="M43" s="141">
        <f t="shared" si="16"/>
        <v>0</v>
      </c>
    </row>
    <row r="44" spans="1:13" x14ac:dyDescent="0.3">
      <c r="A44" s="144">
        <v>7</v>
      </c>
      <c r="B44" s="150" t="s">
        <v>166</v>
      </c>
      <c r="C44" s="151">
        <f t="shared" si="9"/>
        <v>1</v>
      </c>
      <c r="D44" s="151">
        <f t="shared" si="10"/>
        <v>0</v>
      </c>
      <c r="E44" s="151">
        <f t="shared" si="11"/>
        <v>0</v>
      </c>
      <c r="F44" s="141">
        <f t="shared" si="12"/>
        <v>1</v>
      </c>
      <c r="G44" s="136"/>
      <c r="H44" s="144">
        <v>15</v>
      </c>
      <c r="I44" s="150" t="s">
        <v>57</v>
      </c>
      <c r="J44" s="151">
        <f t="shared" si="13"/>
        <v>0</v>
      </c>
      <c r="K44" s="151">
        <f t="shared" si="14"/>
        <v>0</v>
      </c>
      <c r="L44" s="151">
        <f t="shared" si="15"/>
        <v>0</v>
      </c>
      <c r="M44" s="141">
        <f t="shared" si="16"/>
        <v>0</v>
      </c>
    </row>
    <row r="45" spans="1:13" x14ac:dyDescent="0.3">
      <c r="A45" s="144">
        <v>10</v>
      </c>
      <c r="B45" s="150" t="s">
        <v>59</v>
      </c>
      <c r="C45" s="151">
        <f t="shared" si="9"/>
        <v>0</v>
      </c>
      <c r="D45" s="151">
        <f t="shared" si="10"/>
        <v>1</v>
      </c>
      <c r="E45" s="151">
        <f t="shared" si="11"/>
        <v>0</v>
      </c>
      <c r="F45" s="141">
        <f t="shared" si="12"/>
        <v>1</v>
      </c>
      <c r="G45" s="136"/>
      <c r="H45" s="144">
        <v>16</v>
      </c>
      <c r="I45" s="150" t="s">
        <v>54</v>
      </c>
      <c r="J45" s="151">
        <f t="shared" si="13"/>
        <v>0</v>
      </c>
      <c r="K45" s="151">
        <f t="shared" si="14"/>
        <v>0</v>
      </c>
      <c r="L45" s="151">
        <f t="shared" si="15"/>
        <v>0</v>
      </c>
      <c r="M45" s="141">
        <f t="shared" si="16"/>
        <v>0</v>
      </c>
    </row>
    <row r="46" spans="1:13" x14ac:dyDescent="0.3">
      <c r="A46" s="144">
        <v>5</v>
      </c>
      <c r="B46" s="150" t="s">
        <v>161</v>
      </c>
      <c r="C46" s="151">
        <f t="shared" si="9"/>
        <v>1</v>
      </c>
      <c r="D46" s="151">
        <f t="shared" si="10"/>
        <v>8</v>
      </c>
      <c r="E46" s="151">
        <f t="shared" si="11"/>
        <v>0</v>
      </c>
      <c r="F46" s="141">
        <f t="shared" si="12"/>
        <v>9</v>
      </c>
      <c r="G46" s="136"/>
      <c r="H46" s="144">
        <v>7</v>
      </c>
      <c r="I46" s="150" t="s">
        <v>166</v>
      </c>
      <c r="J46" s="151">
        <f t="shared" si="13"/>
        <v>2</v>
      </c>
      <c r="K46" s="151">
        <f t="shared" si="14"/>
        <v>0</v>
      </c>
      <c r="L46" s="151">
        <f t="shared" si="15"/>
        <v>3</v>
      </c>
      <c r="M46" s="141">
        <f t="shared" si="16"/>
        <v>5</v>
      </c>
    </row>
    <row r="47" spans="1:13" x14ac:dyDescent="0.3">
      <c r="A47" s="144">
        <v>8</v>
      </c>
      <c r="B47" s="150" t="s">
        <v>162</v>
      </c>
      <c r="C47" s="151">
        <f t="shared" si="9"/>
        <v>10</v>
      </c>
      <c r="D47" s="151">
        <f t="shared" si="10"/>
        <v>2</v>
      </c>
      <c r="E47" s="151">
        <f t="shared" si="11"/>
        <v>1</v>
      </c>
      <c r="F47" s="141">
        <f t="shared" si="12"/>
        <v>13</v>
      </c>
      <c r="G47" s="136"/>
      <c r="H47" s="144">
        <v>2</v>
      </c>
      <c r="I47" s="150" t="s">
        <v>158</v>
      </c>
      <c r="J47" s="151">
        <f t="shared" si="13"/>
        <v>3</v>
      </c>
      <c r="K47" s="151">
        <f t="shared" si="14"/>
        <v>37</v>
      </c>
      <c r="L47" s="151">
        <f t="shared" si="15"/>
        <v>20</v>
      </c>
      <c r="M47" s="141">
        <f t="shared" si="16"/>
        <v>60</v>
      </c>
    </row>
    <row r="48" spans="1:13" x14ac:dyDescent="0.3">
      <c r="A48" s="144">
        <v>16</v>
      </c>
      <c r="B48" s="150" t="s">
        <v>57</v>
      </c>
      <c r="C48" s="151">
        <f t="shared" si="9"/>
        <v>63</v>
      </c>
      <c r="D48" s="151">
        <f t="shared" si="10"/>
        <v>0</v>
      </c>
      <c r="E48" s="151">
        <f t="shared" si="11"/>
        <v>0</v>
      </c>
      <c r="F48" s="141">
        <f t="shared" si="12"/>
        <v>63</v>
      </c>
      <c r="G48" s="136"/>
      <c r="H48" s="144">
        <v>9</v>
      </c>
      <c r="I48" s="150" t="s">
        <v>58</v>
      </c>
      <c r="J48" s="151">
        <f t="shared" si="13"/>
        <v>18</v>
      </c>
      <c r="K48" s="151">
        <f t="shared" si="14"/>
        <v>38</v>
      </c>
      <c r="L48" s="151">
        <f t="shared" si="15"/>
        <v>8</v>
      </c>
      <c r="M48" s="141">
        <f t="shared" si="16"/>
        <v>64</v>
      </c>
    </row>
    <row r="49" spans="1:13" x14ac:dyDescent="0.3">
      <c r="A49" s="144">
        <v>17</v>
      </c>
      <c r="B49" s="150" t="s">
        <v>54</v>
      </c>
      <c r="C49" s="151">
        <f t="shared" si="9"/>
        <v>39</v>
      </c>
      <c r="D49" s="151">
        <f t="shared" si="10"/>
        <v>32</v>
      </c>
      <c r="E49" s="151">
        <f t="shared" si="11"/>
        <v>2</v>
      </c>
      <c r="F49" s="141">
        <f t="shared" si="12"/>
        <v>73</v>
      </c>
      <c r="G49" s="136"/>
      <c r="H49" s="144">
        <v>12</v>
      </c>
      <c r="I49" s="150" t="s">
        <v>56</v>
      </c>
      <c r="J49" s="151">
        <f t="shared" si="13"/>
        <v>8</v>
      </c>
      <c r="K49" s="151">
        <f t="shared" si="14"/>
        <v>21</v>
      </c>
      <c r="L49" s="151">
        <f t="shared" si="15"/>
        <v>41</v>
      </c>
      <c r="M49" s="141">
        <f t="shared" si="16"/>
        <v>70</v>
      </c>
    </row>
    <row r="50" spans="1:13" x14ac:dyDescent="0.3">
      <c r="A50" s="144">
        <v>12</v>
      </c>
      <c r="B50" s="150" t="s">
        <v>60</v>
      </c>
      <c r="C50" s="151">
        <f t="shared" si="9"/>
        <v>37</v>
      </c>
      <c r="D50" s="151">
        <f t="shared" si="10"/>
        <v>64</v>
      </c>
      <c r="E50" s="151">
        <f t="shared" si="11"/>
        <v>6</v>
      </c>
      <c r="F50" s="141">
        <f t="shared" si="12"/>
        <v>107</v>
      </c>
      <c r="G50" s="136"/>
      <c r="H50" s="144">
        <v>8</v>
      </c>
      <c r="I50" s="150" t="s">
        <v>162</v>
      </c>
      <c r="J50" s="151">
        <f t="shared" si="13"/>
        <v>23</v>
      </c>
      <c r="K50" s="151">
        <f t="shared" si="14"/>
        <v>29</v>
      </c>
      <c r="L50" s="151">
        <f t="shared" si="15"/>
        <v>55</v>
      </c>
      <c r="M50" s="141">
        <f t="shared" si="16"/>
        <v>107</v>
      </c>
    </row>
    <row r="51" spans="1:13" x14ac:dyDescent="0.3">
      <c r="A51" s="144">
        <v>1</v>
      </c>
      <c r="B51" s="150" t="s">
        <v>157</v>
      </c>
      <c r="C51" s="151">
        <f t="shared" si="9"/>
        <v>31</v>
      </c>
      <c r="D51" s="151">
        <f t="shared" si="10"/>
        <v>60</v>
      </c>
      <c r="E51" s="151">
        <f t="shared" si="11"/>
        <v>55</v>
      </c>
      <c r="F51" s="141">
        <f t="shared" si="12"/>
        <v>146</v>
      </c>
      <c r="G51" s="136"/>
      <c r="H51" s="144">
        <v>10</v>
      </c>
      <c r="I51" s="150" t="s">
        <v>196</v>
      </c>
      <c r="J51" s="151">
        <f t="shared" si="13"/>
        <v>334</v>
      </c>
      <c r="K51" s="151">
        <f t="shared" si="14"/>
        <v>115</v>
      </c>
      <c r="L51" s="151">
        <f t="shared" si="15"/>
        <v>15</v>
      </c>
      <c r="M51" s="141">
        <f t="shared" si="16"/>
        <v>464</v>
      </c>
    </row>
    <row r="52" spans="1:13" x14ac:dyDescent="0.3">
      <c r="A52" s="144">
        <v>2</v>
      </c>
      <c r="B52" s="150" t="s">
        <v>158</v>
      </c>
      <c r="C52" s="151">
        <f t="shared" si="9"/>
        <v>132</v>
      </c>
      <c r="D52" s="151">
        <f t="shared" si="10"/>
        <v>280</v>
      </c>
      <c r="E52" s="151">
        <f t="shared" si="11"/>
        <v>155</v>
      </c>
      <c r="F52" s="141">
        <f t="shared" si="12"/>
        <v>567</v>
      </c>
      <c r="G52" s="136"/>
      <c r="H52" s="145">
        <v>13</v>
      </c>
      <c r="I52" s="153" t="s">
        <v>61</v>
      </c>
      <c r="J52" s="151">
        <f t="shared" si="13"/>
        <v>133</v>
      </c>
      <c r="K52" s="151">
        <f t="shared" si="14"/>
        <v>187</v>
      </c>
      <c r="L52" s="151">
        <f t="shared" si="15"/>
        <v>153</v>
      </c>
      <c r="M52" s="141">
        <f t="shared" si="16"/>
        <v>473</v>
      </c>
    </row>
    <row r="53" spans="1:13" x14ac:dyDescent="0.3">
      <c r="A53" s="145">
        <v>11</v>
      </c>
      <c r="B53" s="153" t="s">
        <v>208</v>
      </c>
      <c r="C53" s="154">
        <f t="shared" si="9"/>
        <v>254</v>
      </c>
      <c r="D53" s="154">
        <f t="shared" si="10"/>
        <v>423</v>
      </c>
      <c r="E53" s="154">
        <f t="shared" si="11"/>
        <v>261</v>
      </c>
      <c r="F53" s="142">
        <f t="shared" si="12"/>
        <v>938</v>
      </c>
      <c r="G53" s="136"/>
    </row>
    <row r="54" spans="1:13" x14ac:dyDescent="0.3">
      <c r="A54" s="136"/>
    </row>
    <row r="55" spans="1:13" s="42" customFormat="1" x14ac:dyDescent="0.3">
      <c r="B55" s="76"/>
      <c r="C55" s="53"/>
      <c r="D55" s="53"/>
      <c r="E55" s="77"/>
      <c r="F55" s="53"/>
    </row>
    <row r="56" spans="1:13" x14ac:dyDescent="0.3">
      <c r="B56" s="244" t="s">
        <v>73</v>
      </c>
      <c r="H56" s="135" t="s">
        <v>71</v>
      </c>
      <c r="I56" s="238"/>
      <c r="J56" s="46"/>
      <c r="K56" s="46"/>
      <c r="L56" s="46"/>
    </row>
    <row r="57" spans="1:13" x14ac:dyDescent="0.3">
      <c r="A57" s="143"/>
      <c r="B57" s="245"/>
      <c r="C57" s="139" t="s">
        <v>93</v>
      </c>
      <c r="D57" s="139" t="s">
        <v>94</v>
      </c>
      <c r="E57" s="139" t="s">
        <v>36</v>
      </c>
      <c r="F57" s="140" t="s">
        <v>182</v>
      </c>
      <c r="G57" s="157"/>
      <c r="H57" s="143"/>
      <c r="I57" s="139"/>
      <c r="J57" s="139" t="s">
        <v>93</v>
      </c>
      <c r="K57" s="139" t="s">
        <v>94</v>
      </c>
      <c r="L57" s="139" t="s">
        <v>36</v>
      </c>
      <c r="M57" s="140" t="s">
        <v>182</v>
      </c>
    </row>
    <row r="58" spans="1:13" x14ac:dyDescent="0.3">
      <c r="A58" s="144">
        <v>9</v>
      </c>
      <c r="B58" s="150" t="s">
        <v>58</v>
      </c>
      <c r="C58" s="146" t="e">
        <f t="shared" ref="C58:C75" si="17">IF(INDEX(Q2_Paeds,4+$A58,16)="No data",NA(),INDEX(Q2_Paeds,4+$A58,16))</f>
        <v>#N/A</v>
      </c>
      <c r="D58" s="146" t="e">
        <f t="shared" ref="D58:D75" si="18">IF(INDEX(Q2_Paeds,4+$A58,17)="No data",NA(),INDEX(Q2_Paeds,4+$A58,17))</f>
        <v>#N/A</v>
      </c>
      <c r="E58" s="146" t="e">
        <f t="shared" ref="E58:E75" si="19">IF(INDEX(Q2_Paeds,4+$A58,18)="No data",NA(),INDEX(Q2_Paeds,4+$A58,18))</f>
        <v>#N/A</v>
      </c>
      <c r="F58" s="141" t="e">
        <f t="shared" ref="F58:F75" si="20">SUM(C58:E58)</f>
        <v>#N/A</v>
      </c>
      <c r="G58" s="158"/>
      <c r="H58" s="144">
        <v>6</v>
      </c>
      <c r="I58" s="150" t="s">
        <v>165</v>
      </c>
      <c r="J58" s="151" t="e">
        <f t="shared" ref="J58" si="21">IF(INDEX(Q2_Adult,4+$H58,16)="No data",NA(),INDEX(Q2_Adult,4+$H58,16))</f>
        <v>#N/A</v>
      </c>
      <c r="K58" s="151" t="e">
        <f t="shared" ref="K58" si="22">IF(INDEX(Q2_Adult,4+$H58,17)="No data",NA(),INDEX(Q2_Adult,4+$H58,17))</f>
        <v>#N/A</v>
      </c>
      <c r="L58" s="151" t="e">
        <f t="shared" ref="L58" si="23">IF(INDEX(Q2_Adult,4+$H58,18)="No data",NA(),INDEX(Q2_Adult,4+$H58,18))</f>
        <v>#N/A</v>
      </c>
      <c r="M58" s="141" t="e">
        <f t="shared" ref="M58" si="24">SUM(J58:L58)</f>
        <v>#N/A</v>
      </c>
    </row>
    <row r="59" spans="1:13" x14ac:dyDescent="0.3">
      <c r="A59" s="144">
        <v>13</v>
      </c>
      <c r="B59" s="150" t="s">
        <v>56</v>
      </c>
      <c r="C59" s="146" t="e">
        <f t="shared" si="17"/>
        <v>#N/A</v>
      </c>
      <c r="D59" s="146" t="e">
        <f t="shared" si="18"/>
        <v>#N/A</v>
      </c>
      <c r="E59" s="146" t="e">
        <f t="shared" si="19"/>
        <v>#N/A</v>
      </c>
      <c r="F59" s="141" t="e">
        <f t="shared" si="20"/>
        <v>#N/A</v>
      </c>
      <c r="G59" s="158"/>
      <c r="H59" s="144">
        <v>11</v>
      </c>
      <c r="I59" s="150" t="s">
        <v>60</v>
      </c>
      <c r="J59" s="151" t="e">
        <f t="shared" ref="J59:J74" si="25">IF(INDEX(Q2_Adult,4+$H59,16)="No data",NA(),INDEX(Q2_Adult,4+$H59,16))</f>
        <v>#N/A</v>
      </c>
      <c r="K59" s="151" t="e">
        <f t="shared" ref="K59:K74" si="26">IF(INDEX(Q2_Adult,4+$H59,17)="No data",NA(),INDEX(Q2_Adult,4+$H59,17))</f>
        <v>#N/A</v>
      </c>
      <c r="L59" s="151" t="e">
        <f t="shared" ref="L59:L74" si="27">IF(INDEX(Q2_Adult,4+$H59,18)="No data",NA(),INDEX(Q2_Adult,4+$H59,18))</f>
        <v>#N/A</v>
      </c>
      <c r="M59" s="141" t="e">
        <f t="shared" ref="M59:M74" si="28">SUM(J59:L59)</f>
        <v>#N/A</v>
      </c>
    </row>
    <row r="60" spans="1:13" x14ac:dyDescent="0.3">
      <c r="A60" s="144">
        <v>14</v>
      </c>
      <c r="B60" s="150" t="s">
        <v>61</v>
      </c>
      <c r="C60" s="146" t="e">
        <f t="shared" si="17"/>
        <v>#N/A</v>
      </c>
      <c r="D60" s="146" t="e">
        <f t="shared" si="18"/>
        <v>#N/A</v>
      </c>
      <c r="E60" s="146" t="e">
        <f t="shared" si="19"/>
        <v>#N/A</v>
      </c>
      <c r="F60" s="141" t="e">
        <f t="shared" si="20"/>
        <v>#N/A</v>
      </c>
      <c r="G60" s="158"/>
      <c r="H60" s="144">
        <v>14</v>
      </c>
      <c r="I60" s="150" t="s">
        <v>52</v>
      </c>
      <c r="J60" s="151" t="e">
        <f t="shared" si="25"/>
        <v>#N/A</v>
      </c>
      <c r="K60" s="151" t="e">
        <f t="shared" si="26"/>
        <v>#N/A</v>
      </c>
      <c r="L60" s="151" t="e">
        <f t="shared" si="27"/>
        <v>#N/A</v>
      </c>
      <c r="M60" s="141" t="e">
        <f t="shared" si="28"/>
        <v>#N/A</v>
      </c>
    </row>
    <row r="61" spans="1:13" x14ac:dyDescent="0.3">
      <c r="A61" s="144">
        <v>2</v>
      </c>
      <c r="B61" s="150" t="s">
        <v>158</v>
      </c>
      <c r="C61" s="146">
        <f t="shared" si="17"/>
        <v>0</v>
      </c>
      <c r="D61" s="146">
        <f t="shared" si="18"/>
        <v>0</v>
      </c>
      <c r="E61" s="146">
        <f t="shared" si="19"/>
        <v>0</v>
      </c>
      <c r="F61" s="141">
        <f t="shared" si="20"/>
        <v>0</v>
      </c>
      <c r="G61" s="158"/>
      <c r="H61" s="144">
        <v>17</v>
      </c>
      <c r="I61" s="150" t="s">
        <v>62</v>
      </c>
      <c r="J61" s="151" t="e">
        <f t="shared" si="25"/>
        <v>#N/A</v>
      </c>
      <c r="K61" s="151" t="e">
        <f t="shared" si="26"/>
        <v>#N/A</v>
      </c>
      <c r="L61" s="151" t="e">
        <f t="shared" si="27"/>
        <v>#N/A</v>
      </c>
      <c r="M61" s="141" t="e">
        <f t="shared" si="28"/>
        <v>#N/A</v>
      </c>
    </row>
    <row r="62" spans="1:13" x14ac:dyDescent="0.3">
      <c r="A62" s="144">
        <v>10</v>
      </c>
      <c r="B62" s="150" t="s">
        <v>59</v>
      </c>
      <c r="C62" s="146">
        <f t="shared" si="17"/>
        <v>0</v>
      </c>
      <c r="D62" s="146">
        <f t="shared" si="18"/>
        <v>0</v>
      </c>
      <c r="E62" s="146">
        <f t="shared" si="19"/>
        <v>0</v>
      </c>
      <c r="F62" s="141">
        <f t="shared" si="20"/>
        <v>0</v>
      </c>
      <c r="G62" s="158"/>
      <c r="H62" s="144">
        <v>10</v>
      </c>
      <c r="I62" s="150" t="s">
        <v>196</v>
      </c>
      <c r="J62" s="151">
        <f t="shared" si="25"/>
        <v>0</v>
      </c>
      <c r="K62" s="151">
        <f t="shared" si="26"/>
        <v>0</v>
      </c>
      <c r="L62" s="151">
        <f t="shared" si="27"/>
        <v>0</v>
      </c>
      <c r="M62" s="141">
        <f t="shared" si="28"/>
        <v>0</v>
      </c>
    </row>
    <row r="63" spans="1:13" x14ac:dyDescent="0.3">
      <c r="A63" s="144">
        <v>11</v>
      </c>
      <c r="B63" s="150" t="s">
        <v>208</v>
      </c>
      <c r="C63" s="146">
        <f t="shared" si="17"/>
        <v>0</v>
      </c>
      <c r="D63" s="146">
        <f t="shared" si="18"/>
        <v>0</v>
      </c>
      <c r="E63" s="146">
        <f t="shared" si="19"/>
        <v>0</v>
      </c>
      <c r="F63" s="141">
        <f t="shared" si="20"/>
        <v>0</v>
      </c>
      <c r="G63" s="158"/>
      <c r="H63" s="144">
        <v>2</v>
      </c>
      <c r="I63" s="150" t="s">
        <v>158</v>
      </c>
      <c r="J63" s="151">
        <f t="shared" si="25"/>
        <v>0</v>
      </c>
      <c r="K63" s="151">
        <f t="shared" si="26"/>
        <v>0</v>
      </c>
      <c r="L63" s="151">
        <f t="shared" si="27"/>
        <v>0</v>
      </c>
      <c r="M63" s="141">
        <f t="shared" si="28"/>
        <v>0</v>
      </c>
    </row>
    <row r="64" spans="1:13" x14ac:dyDescent="0.3">
      <c r="A64" s="144">
        <v>5</v>
      </c>
      <c r="B64" s="150" t="s">
        <v>161</v>
      </c>
      <c r="C64" s="146">
        <f t="shared" si="17"/>
        <v>1</v>
      </c>
      <c r="D64" s="146">
        <f t="shared" si="18"/>
        <v>5</v>
      </c>
      <c r="E64" s="146">
        <f t="shared" si="19"/>
        <v>1</v>
      </c>
      <c r="F64" s="141">
        <f t="shared" si="20"/>
        <v>7</v>
      </c>
      <c r="G64" s="158"/>
      <c r="H64" s="144">
        <v>4</v>
      </c>
      <c r="I64" s="150" t="s">
        <v>160</v>
      </c>
      <c r="J64" s="151">
        <f t="shared" si="25"/>
        <v>0</v>
      </c>
      <c r="K64" s="151">
        <f t="shared" si="26"/>
        <v>0</v>
      </c>
      <c r="L64" s="151">
        <f t="shared" si="27"/>
        <v>0</v>
      </c>
      <c r="M64" s="141">
        <f t="shared" si="28"/>
        <v>0</v>
      </c>
    </row>
    <row r="65" spans="1:15" x14ac:dyDescent="0.3">
      <c r="A65" s="144">
        <v>4</v>
      </c>
      <c r="B65" s="150" t="s">
        <v>160</v>
      </c>
      <c r="C65" s="146">
        <f t="shared" si="17"/>
        <v>1</v>
      </c>
      <c r="D65" s="146">
        <f t="shared" si="18"/>
        <v>3</v>
      </c>
      <c r="E65" s="146">
        <f t="shared" si="19"/>
        <v>6</v>
      </c>
      <c r="F65" s="141">
        <f t="shared" si="20"/>
        <v>10</v>
      </c>
      <c r="G65" s="158"/>
      <c r="H65" s="144">
        <v>5</v>
      </c>
      <c r="I65" s="150" t="s">
        <v>161</v>
      </c>
      <c r="J65" s="151">
        <f t="shared" si="25"/>
        <v>0</v>
      </c>
      <c r="K65" s="151">
        <f t="shared" si="26"/>
        <v>0</v>
      </c>
      <c r="L65" s="151">
        <f t="shared" si="27"/>
        <v>0</v>
      </c>
      <c r="M65" s="141">
        <f t="shared" si="28"/>
        <v>0</v>
      </c>
    </row>
    <row r="66" spans="1:15" x14ac:dyDescent="0.3">
      <c r="A66" s="144">
        <v>18</v>
      </c>
      <c r="B66" s="150" t="s">
        <v>62</v>
      </c>
      <c r="C66" s="146">
        <f t="shared" si="17"/>
        <v>6</v>
      </c>
      <c r="D66" s="146">
        <f t="shared" si="18"/>
        <v>5</v>
      </c>
      <c r="E66" s="146">
        <f t="shared" si="19"/>
        <v>0</v>
      </c>
      <c r="F66" s="141">
        <f t="shared" si="20"/>
        <v>11</v>
      </c>
      <c r="G66" s="158"/>
      <c r="H66" s="144">
        <v>7</v>
      </c>
      <c r="I66" s="150" t="s">
        <v>166</v>
      </c>
      <c r="J66" s="151">
        <f t="shared" si="25"/>
        <v>0</v>
      </c>
      <c r="K66" s="151">
        <f t="shared" si="26"/>
        <v>0</v>
      </c>
      <c r="L66" s="151">
        <f t="shared" si="27"/>
        <v>0</v>
      </c>
      <c r="M66" s="141">
        <f t="shared" si="28"/>
        <v>0</v>
      </c>
    </row>
    <row r="67" spans="1:15" x14ac:dyDescent="0.3">
      <c r="A67" s="144">
        <v>7</v>
      </c>
      <c r="B67" s="150" t="s">
        <v>166</v>
      </c>
      <c r="C67" s="146">
        <f t="shared" si="17"/>
        <v>18</v>
      </c>
      <c r="D67" s="146">
        <f t="shared" si="18"/>
        <v>6</v>
      </c>
      <c r="E67" s="146">
        <f t="shared" si="19"/>
        <v>0</v>
      </c>
      <c r="F67" s="141">
        <f t="shared" si="20"/>
        <v>24</v>
      </c>
      <c r="G67" s="158"/>
      <c r="H67" s="144">
        <v>8</v>
      </c>
      <c r="I67" s="150" t="s">
        <v>162</v>
      </c>
      <c r="J67" s="151">
        <f t="shared" si="25"/>
        <v>0</v>
      </c>
      <c r="K67" s="151">
        <f t="shared" si="26"/>
        <v>0</v>
      </c>
      <c r="L67" s="151">
        <f t="shared" si="27"/>
        <v>0</v>
      </c>
      <c r="M67" s="141">
        <f t="shared" si="28"/>
        <v>0</v>
      </c>
    </row>
    <row r="68" spans="1:15" x14ac:dyDescent="0.3">
      <c r="A68" s="144">
        <v>15</v>
      </c>
      <c r="B68" s="150" t="s">
        <v>52</v>
      </c>
      <c r="C68" s="146">
        <f t="shared" si="17"/>
        <v>36</v>
      </c>
      <c r="D68" s="146">
        <f t="shared" si="18"/>
        <v>0</v>
      </c>
      <c r="E68" s="146">
        <f t="shared" si="19"/>
        <v>0</v>
      </c>
      <c r="F68" s="141">
        <f t="shared" si="20"/>
        <v>36</v>
      </c>
      <c r="G68" s="158"/>
      <c r="H68" s="144">
        <v>13</v>
      </c>
      <c r="I68" s="150" t="s">
        <v>61</v>
      </c>
      <c r="J68" s="151">
        <f t="shared" si="25"/>
        <v>0</v>
      </c>
      <c r="K68" s="151">
        <f t="shared" si="26"/>
        <v>0</v>
      </c>
      <c r="L68" s="151">
        <f t="shared" si="27"/>
        <v>0</v>
      </c>
      <c r="M68" s="141">
        <f t="shared" si="28"/>
        <v>0</v>
      </c>
    </row>
    <row r="69" spans="1:15" x14ac:dyDescent="0.3">
      <c r="A69" s="144">
        <v>6</v>
      </c>
      <c r="B69" s="150" t="s">
        <v>165</v>
      </c>
      <c r="C69" s="146">
        <f t="shared" si="17"/>
        <v>13</v>
      </c>
      <c r="D69" s="146">
        <f t="shared" si="18"/>
        <v>30</v>
      </c>
      <c r="E69" s="146">
        <f t="shared" si="19"/>
        <v>0</v>
      </c>
      <c r="F69" s="141">
        <f t="shared" si="20"/>
        <v>43</v>
      </c>
      <c r="G69" s="158"/>
      <c r="H69" s="144">
        <v>15</v>
      </c>
      <c r="I69" s="150" t="s">
        <v>57</v>
      </c>
      <c r="J69" s="151">
        <f t="shared" si="25"/>
        <v>7</v>
      </c>
      <c r="K69" s="151">
        <f t="shared" si="26"/>
        <v>0</v>
      </c>
      <c r="L69" s="151">
        <f t="shared" si="27"/>
        <v>0</v>
      </c>
      <c r="M69" s="141">
        <f t="shared" si="28"/>
        <v>7</v>
      </c>
    </row>
    <row r="70" spans="1:15" x14ac:dyDescent="0.3">
      <c r="A70" s="144">
        <v>16</v>
      </c>
      <c r="B70" s="150" t="s">
        <v>57</v>
      </c>
      <c r="C70" s="146">
        <f t="shared" si="17"/>
        <v>42</v>
      </c>
      <c r="D70" s="146">
        <f t="shared" si="18"/>
        <v>3</v>
      </c>
      <c r="E70" s="146">
        <f t="shared" si="19"/>
        <v>0</v>
      </c>
      <c r="F70" s="141">
        <f t="shared" si="20"/>
        <v>45</v>
      </c>
      <c r="G70" s="158"/>
      <c r="H70" s="144">
        <v>16</v>
      </c>
      <c r="I70" s="150" t="s">
        <v>54</v>
      </c>
      <c r="J70" s="151">
        <f t="shared" si="25"/>
        <v>8</v>
      </c>
      <c r="K70" s="151">
        <f t="shared" si="26"/>
        <v>2</v>
      </c>
      <c r="L70" s="151">
        <f t="shared" si="27"/>
        <v>1</v>
      </c>
      <c r="M70" s="141">
        <f t="shared" si="28"/>
        <v>11</v>
      </c>
    </row>
    <row r="71" spans="1:15" x14ac:dyDescent="0.3">
      <c r="A71" s="144">
        <v>8</v>
      </c>
      <c r="B71" s="150" t="s">
        <v>162</v>
      </c>
      <c r="C71" s="146">
        <f t="shared" si="17"/>
        <v>39</v>
      </c>
      <c r="D71" s="146">
        <f t="shared" si="18"/>
        <v>48</v>
      </c>
      <c r="E71" s="146">
        <f t="shared" si="19"/>
        <v>0</v>
      </c>
      <c r="F71" s="141">
        <f t="shared" si="20"/>
        <v>87</v>
      </c>
      <c r="G71" s="158"/>
      <c r="H71" s="144">
        <v>12</v>
      </c>
      <c r="I71" s="150" t="s">
        <v>56</v>
      </c>
      <c r="J71" s="151">
        <f t="shared" si="25"/>
        <v>8</v>
      </c>
      <c r="K71" s="151">
        <f t="shared" si="26"/>
        <v>21</v>
      </c>
      <c r="L71" s="151">
        <f t="shared" si="27"/>
        <v>41</v>
      </c>
      <c r="M71" s="141">
        <f t="shared" si="28"/>
        <v>70</v>
      </c>
    </row>
    <row r="72" spans="1:15" x14ac:dyDescent="0.3">
      <c r="A72" s="144">
        <v>12</v>
      </c>
      <c r="B72" s="150" t="s">
        <v>60</v>
      </c>
      <c r="C72" s="146">
        <f t="shared" si="17"/>
        <v>26</v>
      </c>
      <c r="D72" s="146">
        <f t="shared" si="18"/>
        <v>48</v>
      </c>
      <c r="E72" s="146">
        <f t="shared" si="19"/>
        <v>18</v>
      </c>
      <c r="F72" s="141">
        <f t="shared" si="20"/>
        <v>92</v>
      </c>
      <c r="G72" s="158"/>
      <c r="H72" s="144">
        <v>9</v>
      </c>
      <c r="I72" s="150" t="s">
        <v>58</v>
      </c>
      <c r="J72" s="151">
        <f t="shared" si="25"/>
        <v>18</v>
      </c>
      <c r="K72" s="151">
        <f t="shared" si="26"/>
        <v>38</v>
      </c>
      <c r="L72" s="151">
        <f t="shared" si="27"/>
        <v>8</v>
      </c>
      <c r="M72" s="141">
        <f t="shared" si="28"/>
        <v>64</v>
      </c>
    </row>
    <row r="73" spans="1:15" x14ac:dyDescent="0.3">
      <c r="A73" s="144">
        <v>17</v>
      </c>
      <c r="B73" s="150" t="s">
        <v>54</v>
      </c>
      <c r="C73" s="146">
        <f t="shared" si="17"/>
        <v>31</v>
      </c>
      <c r="D73" s="146">
        <f t="shared" si="18"/>
        <v>53</v>
      </c>
      <c r="E73" s="146">
        <f t="shared" si="19"/>
        <v>42</v>
      </c>
      <c r="F73" s="141">
        <f t="shared" si="20"/>
        <v>126</v>
      </c>
      <c r="G73" s="158"/>
      <c r="H73" s="144">
        <v>1</v>
      </c>
      <c r="I73" s="150" t="s">
        <v>157</v>
      </c>
      <c r="J73" s="151">
        <f t="shared" si="25"/>
        <v>27</v>
      </c>
      <c r="K73" s="151">
        <f t="shared" si="26"/>
        <v>77</v>
      </c>
      <c r="L73" s="151">
        <f t="shared" si="27"/>
        <v>108</v>
      </c>
      <c r="M73" s="141">
        <f t="shared" si="28"/>
        <v>212</v>
      </c>
    </row>
    <row r="74" spans="1:15" x14ac:dyDescent="0.3">
      <c r="A74" s="144">
        <v>3</v>
      </c>
      <c r="B74" s="150" t="s">
        <v>159</v>
      </c>
      <c r="C74" s="146">
        <f t="shared" si="17"/>
        <v>49</v>
      </c>
      <c r="D74" s="146">
        <f t="shared" si="18"/>
        <v>111</v>
      </c>
      <c r="E74" s="146">
        <f t="shared" si="19"/>
        <v>28</v>
      </c>
      <c r="F74" s="141">
        <f t="shared" si="20"/>
        <v>188</v>
      </c>
      <c r="G74" s="158"/>
      <c r="H74" s="145">
        <v>3</v>
      </c>
      <c r="I74" s="153" t="s">
        <v>159</v>
      </c>
      <c r="J74" s="151">
        <f t="shared" si="25"/>
        <v>36</v>
      </c>
      <c r="K74" s="151">
        <f t="shared" si="26"/>
        <v>22</v>
      </c>
      <c r="L74" s="151">
        <f t="shared" si="27"/>
        <v>166</v>
      </c>
      <c r="M74" s="141">
        <f t="shared" si="28"/>
        <v>224</v>
      </c>
    </row>
    <row r="75" spans="1:15" x14ac:dyDescent="0.3">
      <c r="A75" s="145">
        <v>1</v>
      </c>
      <c r="B75" s="153" t="s">
        <v>157</v>
      </c>
      <c r="C75" s="147">
        <f t="shared" si="17"/>
        <v>34</v>
      </c>
      <c r="D75" s="147">
        <f t="shared" si="18"/>
        <v>140</v>
      </c>
      <c r="E75" s="147">
        <f t="shared" si="19"/>
        <v>125</v>
      </c>
      <c r="F75" s="142">
        <f t="shared" si="20"/>
        <v>299</v>
      </c>
      <c r="G75" s="158"/>
    </row>
    <row r="77" spans="1:15" s="103" customFormat="1" ht="18" x14ac:dyDescent="0.35">
      <c r="B77" s="103" t="s">
        <v>108</v>
      </c>
    </row>
    <row r="78" spans="1:15" s="104" customFormat="1" ht="43.5" customHeight="1" x14ac:dyDescent="0.4">
      <c r="B78" s="105" t="s">
        <v>186</v>
      </c>
    </row>
    <row r="79" spans="1:15" x14ac:dyDescent="0.3">
      <c r="A79" s="42"/>
      <c r="B79" s="135" t="s">
        <v>74</v>
      </c>
      <c r="C79" s="42"/>
      <c r="D79" s="42"/>
      <c r="E79" s="135" t="s">
        <v>146</v>
      </c>
      <c r="F79" s="135"/>
      <c r="I79" s="34" t="s">
        <v>143</v>
      </c>
      <c r="M79" s="34" t="s">
        <v>143</v>
      </c>
    </row>
    <row r="80" spans="1:15" x14ac:dyDescent="0.3">
      <c r="A80" s="143"/>
      <c r="B80" s="139"/>
      <c r="C80" s="140" t="str">
        <f>Data!U29</f>
        <v>Local consultant</v>
      </c>
      <c r="D80" s="157"/>
      <c r="E80" s="143"/>
      <c r="F80" s="139"/>
      <c r="G80" s="140" t="str">
        <f>Data!V29</f>
        <v>Visiting consultant</v>
      </c>
      <c r="H80" s="157"/>
      <c r="I80" s="143"/>
      <c r="J80" s="139"/>
      <c r="K80" s="140" t="str">
        <f>Data!U5</f>
        <v>Local consultant</v>
      </c>
      <c r="L80" s="157"/>
      <c r="M80" s="143"/>
      <c r="N80" s="139"/>
      <c r="O80" s="140" t="str">
        <f>Data!V5</f>
        <v>Visiting consultant</v>
      </c>
    </row>
    <row r="81" spans="1:15" x14ac:dyDescent="0.3">
      <c r="A81" s="144">
        <v>9</v>
      </c>
      <c r="B81" s="150" t="s">
        <v>58</v>
      </c>
      <c r="C81" s="159" t="e">
        <f t="shared" ref="C81:C98" si="29">IF(INDEX(Q2_Paeds,4+$A81,21)="No data",NA(),INDEX(Q2_Paeds,4+$A81,21))</f>
        <v>#N/A</v>
      </c>
      <c r="D81" s="161"/>
      <c r="E81" s="144">
        <v>9</v>
      </c>
      <c r="F81" s="150" t="s">
        <v>58</v>
      </c>
      <c r="G81" s="159" t="e">
        <f t="shared" ref="G81:G98" si="30">IF(INDEX(Q2_Paeds,4+$E81,22)="No data",NA(),INDEX(Q2_Paeds,4+$E81,22))</f>
        <v>#N/A</v>
      </c>
      <c r="H81" s="161"/>
      <c r="I81" s="144">
        <v>6</v>
      </c>
      <c r="J81" s="150" t="s">
        <v>165</v>
      </c>
      <c r="K81" s="159" t="e">
        <f t="shared" ref="K81" si="31">IF(INDEX(Q2_Adult,4+$I81,21)="No data",NA(),INDEX(Q2_Adult,4+$I81,21))</f>
        <v>#N/A</v>
      </c>
      <c r="L81" s="161"/>
      <c r="M81" s="144">
        <v>6</v>
      </c>
      <c r="N81" s="150" t="s">
        <v>165</v>
      </c>
      <c r="O81" s="159" t="e">
        <f t="shared" ref="O81" si="32">IF(INDEX(Q2_Adult,4+$M81,22)="No data",NA(),INDEX(Q2_Adult,4+$M81,22))</f>
        <v>#N/A</v>
      </c>
    </row>
    <row r="82" spans="1:15" x14ac:dyDescent="0.3">
      <c r="A82" s="144">
        <v>13</v>
      </c>
      <c r="B82" s="150" t="s">
        <v>56</v>
      </c>
      <c r="C82" s="159" t="e">
        <f t="shared" si="29"/>
        <v>#N/A</v>
      </c>
      <c r="D82" s="161"/>
      <c r="E82" s="144">
        <v>13</v>
      </c>
      <c r="F82" s="150" t="s">
        <v>56</v>
      </c>
      <c r="G82" s="159" t="e">
        <f t="shared" si="30"/>
        <v>#N/A</v>
      </c>
      <c r="H82" s="161"/>
      <c r="I82" s="144">
        <v>11</v>
      </c>
      <c r="J82" s="150" t="s">
        <v>60</v>
      </c>
      <c r="K82" s="159" t="e">
        <f t="shared" ref="K82:K97" si="33">IF(INDEX(Q2_Adult,4+$I82,21)="No data",NA(),INDEX(Q2_Adult,4+$I82,21))</f>
        <v>#N/A</v>
      </c>
      <c r="L82" s="161"/>
      <c r="M82" s="144">
        <v>11</v>
      </c>
      <c r="N82" s="150" t="s">
        <v>60</v>
      </c>
      <c r="O82" s="159" t="e">
        <f t="shared" ref="O82:O97" si="34">IF(INDEX(Q2_Adult,4+$M82,22)="No data",NA(),INDEX(Q2_Adult,4+$M82,22))</f>
        <v>#N/A</v>
      </c>
    </row>
    <row r="83" spans="1:15" x14ac:dyDescent="0.3">
      <c r="A83" s="144">
        <v>14</v>
      </c>
      <c r="B83" s="150" t="s">
        <v>61</v>
      </c>
      <c r="C83" s="159" t="e">
        <f t="shared" si="29"/>
        <v>#N/A</v>
      </c>
      <c r="D83" s="161"/>
      <c r="E83" s="144">
        <v>14</v>
      </c>
      <c r="F83" s="150" t="s">
        <v>61</v>
      </c>
      <c r="G83" s="159" t="e">
        <f t="shared" si="30"/>
        <v>#N/A</v>
      </c>
      <c r="H83" s="161"/>
      <c r="I83" s="144">
        <v>14</v>
      </c>
      <c r="J83" s="150" t="s">
        <v>52</v>
      </c>
      <c r="K83" s="159" t="e">
        <f t="shared" si="33"/>
        <v>#N/A</v>
      </c>
      <c r="L83" s="161"/>
      <c r="M83" s="144">
        <v>14</v>
      </c>
      <c r="N83" s="150" t="s">
        <v>52</v>
      </c>
      <c r="O83" s="159" t="e">
        <f t="shared" si="34"/>
        <v>#N/A</v>
      </c>
    </row>
    <row r="84" spans="1:15" x14ac:dyDescent="0.3">
      <c r="A84" s="144">
        <v>6</v>
      </c>
      <c r="B84" s="150" t="s">
        <v>165</v>
      </c>
      <c r="C84" s="159">
        <f t="shared" si="29"/>
        <v>0</v>
      </c>
      <c r="D84" s="161"/>
      <c r="E84" s="144">
        <v>2</v>
      </c>
      <c r="F84" s="150" t="s">
        <v>158</v>
      </c>
      <c r="G84" s="159">
        <f t="shared" si="30"/>
        <v>0</v>
      </c>
      <c r="H84" s="161"/>
      <c r="I84" s="144">
        <v>17</v>
      </c>
      <c r="J84" s="150" t="s">
        <v>62</v>
      </c>
      <c r="K84" s="159" t="e">
        <f t="shared" si="33"/>
        <v>#N/A</v>
      </c>
      <c r="L84" s="161"/>
      <c r="M84" s="144">
        <v>17</v>
      </c>
      <c r="N84" s="150" t="s">
        <v>62</v>
      </c>
      <c r="O84" s="159" t="e">
        <f t="shared" si="34"/>
        <v>#N/A</v>
      </c>
    </row>
    <row r="85" spans="1:15" x14ac:dyDescent="0.3">
      <c r="A85" s="144">
        <v>7</v>
      </c>
      <c r="B85" s="150" t="s">
        <v>166</v>
      </c>
      <c r="C85" s="159">
        <f t="shared" si="29"/>
        <v>0</v>
      </c>
      <c r="D85" s="161"/>
      <c r="E85" s="144">
        <v>6</v>
      </c>
      <c r="F85" s="150" t="s">
        <v>165</v>
      </c>
      <c r="G85" s="159">
        <f t="shared" si="30"/>
        <v>0</v>
      </c>
      <c r="H85" s="161"/>
      <c r="I85" s="144">
        <v>1</v>
      </c>
      <c r="J85" s="150" t="s">
        <v>157</v>
      </c>
      <c r="K85" s="159">
        <f t="shared" si="33"/>
        <v>0</v>
      </c>
      <c r="L85" s="161"/>
      <c r="M85" s="144">
        <v>10</v>
      </c>
      <c r="N85" s="150" t="s">
        <v>196</v>
      </c>
      <c r="O85" s="159">
        <f t="shared" si="34"/>
        <v>0</v>
      </c>
    </row>
    <row r="86" spans="1:15" x14ac:dyDescent="0.3">
      <c r="A86" s="144">
        <v>15</v>
      </c>
      <c r="B86" s="150" t="s">
        <v>52</v>
      </c>
      <c r="C86" s="159">
        <f t="shared" si="29"/>
        <v>0</v>
      </c>
      <c r="D86" s="161"/>
      <c r="E86" s="144">
        <v>7</v>
      </c>
      <c r="F86" s="150" t="s">
        <v>166</v>
      </c>
      <c r="G86" s="159">
        <f t="shared" si="30"/>
        <v>0</v>
      </c>
      <c r="H86" s="161"/>
      <c r="I86" s="144">
        <v>3</v>
      </c>
      <c r="J86" s="150" t="s">
        <v>159</v>
      </c>
      <c r="K86" s="159">
        <f t="shared" si="33"/>
        <v>0</v>
      </c>
      <c r="L86" s="161"/>
      <c r="M86" s="144">
        <v>1</v>
      </c>
      <c r="N86" s="150" t="s">
        <v>157</v>
      </c>
      <c r="O86" s="159">
        <f t="shared" si="34"/>
        <v>0</v>
      </c>
    </row>
    <row r="87" spans="1:15" x14ac:dyDescent="0.3">
      <c r="A87" s="144">
        <v>17</v>
      </c>
      <c r="B87" s="150" t="s">
        <v>54</v>
      </c>
      <c r="C87" s="159">
        <f t="shared" si="29"/>
        <v>0</v>
      </c>
      <c r="D87" s="161"/>
      <c r="E87" s="144">
        <v>8</v>
      </c>
      <c r="F87" s="150" t="s">
        <v>162</v>
      </c>
      <c r="G87" s="159">
        <f t="shared" si="30"/>
        <v>0</v>
      </c>
      <c r="H87" s="161"/>
      <c r="I87" s="144">
        <v>5</v>
      </c>
      <c r="J87" s="150" t="s">
        <v>161</v>
      </c>
      <c r="K87" s="159">
        <f t="shared" si="33"/>
        <v>0</v>
      </c>
      <c r="L87" s="161"/>
      <c r="M87" s="144">
        <v>2</v>
      </c>
      <c r="N87" s="150" t="s">
        <v>158</v>
      </c>
      <c r="O87" s="159">
        <f t="shared" si="34"/>
        <v>0</v>
      </c>
    </row>
    <row r="88" spans="1:15" x14ac:dyDescent="0.3">
      <c r="A88" s="144">
        <v>10</v>
      </c>
      <c r="B88" s="150" t="s">
        <v>59</v>
      </c>
      <c r="C88" s="159">
        <f t="shared" si="29"/>
        <v>0.05</v>
      </c>
      <c r="D88" s="161"/>
      <c r="E88" s="144">
        <v>11</v>
      </c>
      <c r="F88" s="150" t="s">
        <v>208</v>
      </c>
      <c r="G88" s="159">
        <f t="shared" si="30"/>
        <v>0</v>
      </c>
      <c r="H88" s="161"/>
      <c r="I88" s="144">
        <v>7</v>
      </c>
      <c r="J88" s="150" t="s">
        <v>166</v>
      </c>
      <c r="K88" s="159">
        <f t="shared" si="33"/>
        <v>0</v>
      </c>
      <c r="L88" s="161"/>
      <c r="M88" s="144">
        <v>3</v>
      </c>
      <c r="N88" s="150" t="s">
        <v>159</v>
      </c>
      <c r="O88" s="159">
        <f t="shared" si="34"/>
        <v>0</v>
      </c>
    </row>
    <row r="89" spans="1:15" x14ac:dyDescent="0.3">
      <c r="A89" s="144">
        <v>8</v>
      </c>
      <c r="B89" s="150" t="s">
        <v>162</v>
      </c>
      <c r="C89" s="159">
        <f t="shared" si="29"/>
        <v>0.06</v>
      </c>
      <c r="D89" s="161"/>
      <c r="E89" s="144">
        <v>15</v>
      </c>
      <c r="F89" s="150" t="s">
        <v>52</v>
      </c>
      <c r="G89" s="159">
        <f t="shared" si="30"/>
        <v>0</v>
      </c>
      <c r="H89" s="161"/>
      <c r="I89" s="144">
        <v>8</v>
      </c>
      <c r="J89" s="150" t="s">
        <v>162</v>
      </c>
      <c r="K89" s="159">
        <f t="shared" si="33"/>
        <v>0</v>
      </c>
      <c r="L89" s="161"/>
      <c r="M89" s="144">
        <v>4</v>
      </c>
      <c r="N89" s="150" t="s">
        <v>160</v>
      </c>
      <c r="O89" s="159">
        <f t="shared" si="34"/>
        <v>0</v>
      </c>
    </row>
    <row r="90" spans="1:15" x14ac:dyDescent="0.3">
      <c r="A90" s="144">
        <v>2</v>
      </c>
      <c r="B90" s="150" t="s">
        <v>158</v>
      </c>
      <c r="C90" s="159">
        <f t="shared" si="29"/>
        <v>7.0000000000000007E-2</v>
      </c>
      <c r="D90" s="161"/>
      <c r="E90" s="144">
        <v>17</v>
      </c>
      <c r="F90" s="150" t="s">
        <v>54</v>
      </c>
      <c r="G90" s="159">
        <f t="shared" si="30"/>
        <v>0</v>
      </c>
      <c r="H90" s="161"/>
      <c r="I90" s="144">
        <v>9</v>
      </c>
      <c r="J90" s="150" t="s">
        <v>58</v>
      </c>
      <c r="K90" s="159">
        <f t="shared" si="33"/>
        <v>0</v>
      </c>
      <c r="L90" s="161"/>
      <c r="M90" s="144">
        <v>5</v>
      </c>
      <c r="N90" s="150" t="s">
        <v>161</v>
      </c>
      <c r="O90" s="159">
        <f t="shared" si="34"/>
        <v>0</v>
      </c>
    </row>
    <row r="91" spans="1:15" x14ac:dyDescent="0.3">
      <c r="A91" s="144">
        <v>12</v>
      </c>
      <c r="B91" s="150" t="s">
        <v>60</v>
      </c>
      <c r="C91" s="159">
        <f t="shared" si="29"/>
        <v>0.08</v>
      </c>
      <c r="D91" s="161"/>
      <c r="E91" s="144">
        <v>3</v>
      </c>
      <c r="F91" s="150" t="s">
        <v>159</v>
      </c>
      <c r="G91" s="159">
        <f t="shared" si="30"/>
        <v>0.05</v>
      </c>
      <c r="H91" s="161"/>
      <c r="I91" s="144">
        <v>12</v>
      </c>
      <c r="J91" s="150" t="s">
        <v>56</v>
      </c>
      <c r="K91" s="159">
        <f t="shared" si="33"/>
        <v>0</v>
      </c>
      <c r="L91" s="161"/>
      <c r="M91" s="144">
        <v>7</v>
      </c>
      <c r="N91" s="150" t="s">
        <v>166</v>
      </c>
      <c r="O91" s="159">
        <f t="shared" si="34"/>
        <v>0</v>
      </c>
    </row>
    <row r="92" spans="1:15" x14ac:dyDescent="0.3">
      <c r="A92" s="144">
        <v>16</v>
      </c>
      <c r="B92" s="150" t="s">
        <v>57</v>
      </c>
      <c r="C92" s="159">
        <f t="shared" si="29"/>
        <v>0.08</v>
      </c>
      <c r="D92" s="161"/>
      <c r="E92" s="144">
        <v>10</v>
      </c>
      <c r="F92" s="150" t="s">
        <v>59</v>
      </c>
      <c r="G92" s="159">
        <f t="shared" si="30"/>
        <v>0.05</v>
      </c>
      <c r="H92" s="161"/>
      <c r="I92" s="144">
        <v>15</v>
      </c>
      <c r="J92" s="150" t="s">
        <v>57</v>
      </c>
      <c r="K92" s="159">
        <f t="shared" si="33"/>
        <v>0</v>
      </c>
      <c r="L92" s="161"/>
      <c r="M92" s="144">
        <v>8</v>
      </c>
      <c r="N92" s="150" t="s">
        <v>162</v>
      </c>
      <c r="O92" s="159">
        <f t="shared" si="34"/>
        <v>0</v>
      </c>
    </row>
    <row r="93" spans="1:15" x14ac:dyDescent="0.3">
      <c r="A93" s="144">
        <v>11</v>
      </c>
      <c r="B93" s="150" t="s">
        <v>208</v>
      </c>
      <c r="C93" s="159">
        <f t="shared" si="29"/>
        <v>0.09</v>
      </c>
      <c r="D93" s="161"/>
      <c r="E93" s="144">
        <v>12</v>
      </c>
      <c r="F93" s="150" t="s">
        <v>60</v>
      </c>
      <c r="G93" s="159">
        <f t="shared" si="30"/>
        <v>0.05</v>
      </c>
      <c r="H93" s="161"/>
      <c r="I93" s="144">
        <v>13</v>
      </c>
      <c r="J93" s="150" t="s">
        <v>61</v>
      </c>
      <c r="K93" s="159">
        <f t="shared" si="33"/>
        <v>0.04</v>
      </c>
      <c r="L93" s="161"/>
      <c r="M93" s="144">
        <v>9</v>
      </c>
      <c r="N93" s="150" t="s">
        <v>58</v>
      </c>
      <c r="O93" s="159">
        <f t="shared" si="34"/>
        <v>0</v>
      </c>
    </row>
    <row r="94" spans="1:15" x14ac:dyDescent="0.3">
      <c r="A94" s="144">
        <v>18</v>
      </c>
      <c r="B94" s="150" t="s">
        <v>62</v>
      </c>
      <c r="C94" s="159">
        <f t="shared" si="29"/>
        <v>0.1</v>
      </c>
      <c r="D94" s="161"/>
      <c r="E94" s="144">
        <v>16</v>
      </c>
      <c r="F94" s="150" t="s">
        <v>57</v>
      </c>
      <c r="G94" s="159">
        <f t="shared" si="30"/>
        <v>7.0000000000000007E-2</v>
      </c>
      <c r="H94" s="161"/>
      <c r="I94" s="144">
        <v>16</v>
      </c>
      <c r="J94" s="150" t="s">
        <v>54</v>
      </c>
      <c r="K94" s="159">
        <f t="shared" si="33"/>
        <v>0.04</v>
      </c>
      <c r="L94" s="161"/>
      <c r="M94" s="144">
        <v>12</v>
      </c>
      <c r="N94" s="150" t="s">
        <v>56</v>
      </c>
      <c r="O94" s="159">
        <f t="shared" si="34"/>
        <v>0</v>
      </c>
    </row>
    <row r="95" spans="1:15" x14ac:dyDescent="0.3">
      <c r="A95" s="144">
        <v>3</v>
      </c>
      <c r="B95" s="150" t="s">
        <v>159</v>
      </c>
      <c r="C95" s="159">
        <f t="shared" si="29"/>
        <v>0.12</v>
      </c>
      <c r="D95" s="161"/>
      <c r="E95" s="144">
        <v>18</v>
      </c>
      <c r="F95" s="150" t="s">
        <v>62</v>
      </c>
      <c r="G95" s="159">
        <f t="shared" si="30"/>
        <v>7.0000000000000007E-2</v>
      </c>
      <c r="H95" s="161"/>
      <c r="I95" s="144">
        <v>4</v>
      </c>
      <c r="J95" s="150" t="s">
        <v>160</v>
      </c>
      <c r="K95" s="159">
        <f t="shared" si="33"/>
        <v>0.13</v>
      </c>
      <c r="L95" s="161"/>
      <c r="M95" s="144">
        <v>13</v>
      </c>
      <c r="N95" s="150" t="s">
        <v>61</v>
      </c>
      <c r="O95" s="159">
        <f t="shared" si="34"/>
        <v>0</v>
      </c>
    </row>
    <row r="96" spans="1:15" x14ac:dyDescent="0.3">
      <c r="A96" s="144">
        <v>1</v>
      </c>
      <c r="B96" s="150" t="s">
        <v>157</v>
      </c>
      <c r="C96" s="159">
        <f t="shared" si="29"/>
        <v>0.13</v>
      </c>
      <c r="D96" s="161"/>
      <c r="E96" s="144">
        <v>1</v>
      </c>
      <c r="F96" s="150" t="s">
        <v>157</v>
      </c>
      <c r="G96" s="159">
        <f t="shared" si="30"/>
        <v>0.08</v>
      </c>
      <c r="H96" s="161"/>
      <c r="I96" s="144">
        <v>2</v>
      </c>
      <c r="J96" s="150" t="s">
        <v>158</v>
      </c>
      <c r="K96" s="159">
        <f t="shared" si="33"/>
        <v>0.15</v>
      </c>
      <c r="L96" s="161"/>
      <c r="M96" s="144">
        <v>15</v>
      </c>
      <c r="N96" s="150" t="s">
        <v>57</v>
      </c>
      <c r="O96" s="159">
        <f t="shared" si="34"/>
        <v>0</v>
      </c>
    </row>
    <row r="97" spans="1:15" x14ac:dyDescent="0.3">
      <c r="A97" s="144">
        <v>5</v>
      </c>
      <c r="B97" s="150" t="s">
        <v>161</v>
      </c>
      <c r="C97" s="159">
        <f t="shared" si="29"/>
        <v>0.21</v>
      </c>
      <c r="D97" s="161"/>
      <c r="E97" s="144">
        <v>5</v>
      </c>
      <c r="F97" s="150" t="s">
        <v>161</v>
      </c>
      <c r="G97" s="159">
        <f t="shared" si="30"/>
        <v>0.23</v>
      </c>
      <c r="H97" s="161"/>
      <c r="I97" s="145">
        <v>10</v>
      </c>
      <c r="J97" s="153" t="s">
        <v>196</v>
      </c>
      <c r="K97" s="159">
        <f t="shared" si="33"/>
        <v>0.23100000000000001</v>
      </c>
      <c r="L97" s="161"/>
      <c r="M97" s="145">
        <v>16</v>
      </c>
      <c r="N97" s="153" t="s">
        <v>54</v>
      </c>
      <c r="O97" s="159">
        <f t="shared" si="34"/>
        <v>0.09</v>
      </c>
    </row>
    <row r="98" spans="1:15" x14ac:dyDescent="0.3">
      <c r="A98" s="145">
        <v>4</v>
      </c>
      <c r="B98" s="153" t="s">
        <v>160</v>
      </c>
      <c r="C98" s="160">
        <f t="shared" si="29"/>
        <v>0.22</v>
      </c>
      <c r="D98" s="161"/>
      <c r="E98" s="145">
        <v>4</v>
      </c>
      <c r="F98" s="153" t="s">
        <v>160</v>
      </c>
      <c r="G98" s="160">
        <f t="shared" si="30"/>
        <v>0.37</v>
      </c>
      <c r="H98" s="161"/>
    </row>
    <row r="99" spans="1:15" s="42" customFormat="1" x14ac:dyDescent="0.3">
      <c r="B99" s="76"/>
      <c r="C99" s="106"/>
      <c r="D99" s="106"/>
      <c r="E99" s="76"/>
      <c r="F99" s="106"/>
    </row>
    <row r="100" spans="1:15" ht="18" x14ac:dyDescent="0.3">
      <c r="B100" s="107" t="s">
        <v>174</v>
      </c>
      <c r="F100" s="107" t="s">
        <v>175</v>
      </c>
    </row>
    <row r="101" spans="1:15" x14ac:dyDescent="0.3">
      <c r="A101" s="246" t="s">
        <v>75</v>
      </c>
      <c r="B101" s="432" t="s">
        <v>173</v>
      </c>
      <c r="C101" s="433"/>
      <c r="D101" s="247"/>
      <c r="E101" s="248" t="s">
        <v>75</v>
      </c>
      <c r="F101" s="431" t="s">
        <v>4</v>
      </c>
      <c r="G101" s="431"/>
      <c r="H101" s="431" t="s">
        <v>5</v>
      </c>
      <c r="I101" s="431"/>
      <c r="J101" s="431" t="s">
        <v>6</v>
      </c>
      <c r="K101" s="431"/>
      <c r="L101" s="431" t="s">
        <v>7</v>
      </c>
      <c r="M101" s="431"/>
    </row>
    <row r="102" spans="1:15" ht="15" customHeight="1" x14ac:dyDescent="0.3">
      <c r="A102" s="249" t="s">
        <v>53</v>
      </c>
      <c r="B102" s="250" t="s">
        <v>1</v>
      </c>
      <c r="C102" s="251" t="s">
        <v>76</v>
      </c>
      <c r="D102" s="247"/>
      <c r="E102" s="252" t="s">
        <v>53</v>
      </c>
      <c r="F102" s="253" t="s">
        <v>1</v>
      </c>
      <c r="G102" s="254" t="s">
        <v>76</v>
      </c>
      <c r="H102" s="255" t="s">
        <v>1</v>
      </c>
      <c r="I102" s="256" t="s">
        <v>76</v>
      </c>
      <c r="J102" s="257" t="s">
        <v>1</v>
      </c>
      <c r="K102" s="254" t="s">
        <v>76</v>
      </c>
      <c r="L102" s="258" t="s">
        <v>1</v>
      </c>
      <c r="M102" s="256" t="s">
        <v>76</v>
      </c>
      <c r="N102" s="47"/>
    </row>
    <row r="103" spans="1:15" x14ac:dyDescent="0.3">
      <c r="A103" s="259" t="s">
        <v>172</v>
      </c>
      <c r="B103" s="260">
        <f>_xlfn.AGGREGATE(4,6,$K$81:$K$97)</f>
        <v>0.23100000000000001</v>
      </c>
      <c r="C103" s="261">
        <f>_xlfn.AGGREGATE(4,6,$O$81:$O$97)</f>
        <v>0.09</v>
      </c>
      <c r="D103" s="247"/>
      <c r="E103" s="248" t="s">
        <v>172</v>
      </c>
      <c r="F103" s="262">
        <v>0.255</v>
      </c>
      <c r="G103" s="263">
        <v>0.19</v>
      </c>
      <c r="H103" s="262">
        <v>0.23</v>
      </c>
      <c r="I103" s="263">
        <v>0.09</v>
      </c>
      <c r="J103" s="264"/>
      <c r="K103" s="263"/>
      <c r="L103" s="265"/>
      <c r="M103" s="263"/>
      <c r="N103" s="47"/>
    </row>
    <row r="104" spans="1:15" x14ac:dyDescent="0.3">
      <c r="A104" s="259" t="s">
        <v>170</v>
      </c>
      <c r="B104" s="260">
        <f>_xlfn.AGGREGATE(5,6,$K$81:$K$97)</f>
        <v>0</v>
      </c>
      <c r="C104" s="261">
        <f>_xlfn.AGGREGATE(5,6,$O$81:$O$97)</f>
        <v>0</v>
      </c>
      <c r="D104" s="247"/>
      <c r="E104" s="248" t="s">
        <v>170</v>
      </c>
      <c r="F104" s="262">
        <v>0</v>
      </c>
      <c r="G104" s="263">
        <v>0</v>
      </c>
      <c r="H104" s="262">
        <v>0</v>
      </c>
      <c r="I104" s="263">
        <v>0</v>
      </c>
      <c r="J104" s="264"/>
      <c r="K104" s="263"/>
      <c r="L104" s="265"/>
      <c r="M104" s="263"/>
      <c r="N104" s="47"/>
    </row>
    <row r="105" spans="1:15" x14ac:dyDescent="0.3">
      <c r="A105" s="266" t="s">
        <v>171</v>
      </c>
      <c r="B105" s="267">
        <f>_xlfn.AGGREGATE(12,6,$K$81:$K$97)</f>
        <v>0</v>
      </c>
      <c r="C105" s="268">
        <f>_xlfn.AGGREGATE(12,6,$O$81:$O$97)</f>
        <v>0</v>
      </c>
      <c r="D105" s="247"/>
      <c r="E105" s="248" t="s">
        <v>171</v>
      </c>
      <c r="F105" s="269">
        <v>0.04</v>
      </c>
      <c r="G105" s="270">
        <v>0</v>
      </c>
      <c r="H105" s="269">
        <v>0</v>
      </c>
      <c r="I105" s="270">
        <v>0</v>
      </c>
      <c r="J105" s="271"/>
      <c r="K105" s="270"/>
      <c r="L105" s="272"/>
      <c r="M105" s="270"/>
      <c r="N105" s="47"/>
    </row>
    <row r="106" spans="1:15" x14ac:dyDescent="0.3">
      <c r="A106" s="247"/>
      <c r="B106" s="247"/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</row>
    <row r="107" spans="1:15" x14ac:dyDescent="0.3">
      <c r="A107" s="257" t="s">
        <v>77</v>
      </c>
      <c r="B107" s="432" t="s">
        <v>173</v>
      </c>
      <c r="C107" s="433"/>
      <c r="D107" s="247"/>
      <c r="E107" s="273" t="s">
        <v>77</v>
      </c>
      <c r="F107" s="431" t="s">
        <v>4</v>
      </c>
      <c r="G107" s="431"/>
      <c r="H107" s="431" t="s">
        <v>5</v>
      </c>
      <c r="I107" s="431"/>
      <c r="J107" s="431" t="s">
        <v>6</v>
      </c>
      <c r="K107" s="431"/>
      <c r="L107" s="431" t="s">
        <v>7</v>
      </c>
      <c r="M107" s="431"/>
    </row>
    <row r="108" spans="1:15" x14ac:dyDescent="0.3">
      <c r="A108" s="274" t="s">
        <v>12</v>
      </c>
      <c r="B108" s="275" t="s">
        <v>1</v>
      </c>
      <c r="C108" s="276" t="s">
        <v>76</v>
      </c>
      <c r="D108" s="247"/>
      <c r="E108" s="273" t="s">
        <v>12</v>
      </c>
      <c r="F108" s="253" t="s">
        <v>1</v>
      </c>
      <c r="G108" s="254" t="s">
        <v>76</v>
      </c>
      <c r="H108" s="255" t="s">
        <v>1</v>
      </c>
      <c r="I108" s="256" t="s">
        <v>76</v>
      </c>
      <c r="J108" s="257" t="s">
        <v>1</v>
      </c>
      <c r="K108" s="254" t="s">
        <v>76</v>
      </c>
      <c r="L108" s="258" t="s">
        <v>1</v>
      </c>
      <c r="M108" s="256" t="s">
        <v>76</v>
      </c>
    </row>
    <row r="109" spans="1:15" x14ac:dyDescent="0.3">
      <c r="A109" s="259" t="s">
        <v>172</v>
      </c>
      <c r="B109" s="260">
        <f>_xlfn.AGGREGATE(4,6,$C$81:$C$98)</f>
        <v>0.22</v>
      </c>
      <c r="C109" s="261">
        <f>_xlfn.AGGREGATE(4,6,$G$81:$G$98)</f>
        <v>0.37</v>
      </c>
      <c r="D109" s="247"/>
      <c r="E109" s="248" t="s">
        <v>172</v>
      </c>
      <c r="F109" s="262">
        <v>0.3095</v>
      </c>
      <c r="G109" s="263">
        <v>0.1</v>
      </c>
      <c r="H109" s="262">
        <v>0.22</v>
      </c>
      <c r="I109" s="263">
        <v>0.37</v>
      </c>
      <c r="J109" s="264"/>
      <c r="K109" s="263"/>
      <c r="L109" s="265"/>
      <c r="M109" s="263"/>
    </row>
    <row r="110" spans="1:15" x14ac:dyDescent="0.3">
      <c r="A110" s="259" t="s">
        <v>170</v>
      </c>
      <c r="B110" s="260">
        <f>_xlfn.AGGREGATE(5,6,$C$81:$C$98)</f>
        <v>0</v>
      </c>
      <c r="C110" s="261">
        <f>_xlfn.AGGREGATE(5,6,$G$81:$G$98)</f>
        <v>0</v>
      </c>
      <c r="D110" s="247"/>
      <c r="E110" s="248" t="s">
        <v>170</v>
      </c>
      <c r="F110" s="262">
        <v>0</v>
      </c>
      <c r="G110" s="263">
        <v>0</v>
      </c>
      <c r="H110" s="262">
        <v>0</v>
      </c>
      <c r="I110" s="263">
        <v>0</v>
      </c>
      <c r="J110" s="264"/>
      <c r="K110" s="263"/>
      <c r="L110" s="265"/>
      <c r="M110" s="263"/>
    </row>
    <row r="111" spans="1:15" x14ac:dyDescent="0.3">
      <c r="A111" s="266" t="s">
        <v>171</v>
      </c>
      <c r="B111" s="267">
        <f>_xlfn.AGGREGATE(12,6,$C$81:$C$98)</f>
        <v>0.08</v>
      </c>
      <c r="C111" s="268">
        <f>_xlfn.AGGREGATE(12,6,$G$81:$G$98)</f>
        <v>0.05</v>
      </c>
      <c r="D111" s="247"/>
      <c r="E111" s="248" t="s">
        <v>171</v>
      </c>
      <c r="F111" s="269">
        <v>6.3399999999999998E-2</v>
      </c>
      <c r="G111" s="270">
        <v>1.6E-2</v>
      </c>
      <c r="H111" s="269">
        <v>0.08</v>
      </c>
      <c r="I111" s="270">
        <v>0.05</v>
      </c>
      <c r="J111" s="271"/>
      <c r="K111" s="270"/>
      <c r="L111" s="272"/>
      <c r="M111" s="270"/>
    </row>
  </sheetData>
  <sortState xmlns:xlrd2="http://schemas.microsoft.com/office/spreadsheetml/2017/richdata2" ref="H14:L26">
    <sortCondition ref="J14:J26"/>
  </sortState>
  <mergeCells count="10">
    <mergeCell ref="B107:C107"/>
    <mergeCell ref="F107:G107"/>
    <mergeCell ref="H107:I107"/>
    <mergeCell ref="J107:K107"/>
    <mergeCell ref="L107:M107"/>
    <mergeCell ref="B101:C101"/>
    <mergeCell ref="F101:G101"/>
    <mergeCell ref="H101:I101"/>
    <mergeCell ref="J101:K101"/>
    <mergeCell ref="L101:M10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2:P23"/>
  <sheetViews>
    <sheetView showGridLines="0" workbookViewId="0">
      <selection activeCell="D5" sqref="D5"/>
    </sheetView>
  </sheetViews>
  <sheetFormatPr defaultColWidth="0" defaultRowHeight="14.4" x14ac:dyDescent="0.3"/>
  <cols>
    <col min="1" max="1" width="9.109375" customWidth="1"/>
    <col min="2" max="2" width="30.88671875" customWidth="1"/>
    <col min="3" max="3" width="59.109375" customWidth="1"/>
    <col min="4" max="4" width="16.44140625" customWidth="1"/>
    <col min="5" max="5" width="40" customWidth="1"/>
    <col min="6" max="16" width="9.109375" customWidth="1"/>
    <col min="17" max="16384" width="9.109375" hidden="1"/>
  </cols>
  <sheetData>
    <row r="2" spans="2:5" ht="18" customHeight="1" x14ac:dyDescent="0.3">
      <c r="B2" s="295" t="s">
        <v>119</v>
      </c>
      <c r="C2" s="295"/>
      <c r="D2" s="131"/>
      <c r="E2" s="131"/>
    </row>
    <row r="3" spans="2:5" ht="16.2" thickBot="1" x14ac:dyDescent="0.35">
      <c r="B3" s="131"/>
      <c r="C3" s="131" t="s">
        <v>120</v>
      </c>
      <c r="D3" s="131" t="s">
        <v>121</v>
      </c>
      <c r="E3" s="131" t="s">
        <v>122</v>
      </c>
    </row>
    <row r="4" spans="2:5" ht="21" customHeight="1" x14ac:dyDescent="0.3">
      <c r="B4" s="296" t="s">
        <v>123</v>
      </c>
      <c r="C4" s="297" t="s">
        <v>124</v>
      </c>
      <c r="D4" s="108" t="s">
        <v>125</v>
      </c>
      <c r="E4" s="298" t="s">
        <v>128</v>
      </c>
    </row>
    <row r="5" spans="2:5" ht="21" customHeight="1" x14ac:dyDescent="0.3">
      <c r="B5" s="296"/>
      <c r="C5" s="297"/>
      <c r="D5" s="109" t="s">
        <v>126</v>
      </c>
      <c r="E5" s="298"/>
    </row>
    <row r="6" spans="2:5" ht="21" customHeight="1" thickBot="1" x14ac:dyDescent="0.35">
      <c r="B6" s="296"/>
      <c r="C6" s="297"/>
      <c r="D6" s="110" t="s">
        <v>127</v>
      </c>
      <c r="E6" s="298"/>
    </row>
    <row r="7" spans="2:5" ht="21" customHeight="1" x14ac:dyDescent="0.3">
      <c r="B7" s="296"/>
      <c r="C7" s="297" t="s">
        <v>129</v>
      </c>
      <c r="D7" s="108" t="s">
        <v>125</v>
      </c>
      <c r="E7" s="298"/>
    </row>
    <row r="8" spans="2:5" ht="21" customHeight="1" x14ac:dyDescent="0.3">
      <c r="B8" s="296"/>
      <c r="C8" s="297"/>
      <c r="D8" s="109" t="s">
        <v>126</v>
      </c>
      <c r="E8" s="298"/>
    </row>
    <row r="9" spans="2:5" ht="21" customHeight="1" thickBot="1" x14ac:dyDescent="0.35">
      <c r="B9" s="296"/>
      <c r="C9" s="297"/>
      <c r="D9" s="110" t="s">
        <v>127</v>
      </c>
      <c r="E9" s="298"/>
    </row>
    <row r="10" spans="2:5" ht="21.6" customHeight="1" x14ac:dyDescent="0.3">
      <c r="B10" s="296" t="s">
        <v>130</v>
      </c>
      <c r="C10" s="133" t="s">
        <v>131</v>
      </c>
      <c r="D10" s="132" t="s">
        <v>135</v>
      </c>
      <c r="E10" s="297" t="s">
        <v>136</v>
      </c>
    </row>
    <row r="11" spans="2:5" ht="21.6" customHeight="1" thickBot="1" x14ac:dyDescent="0.35">
      <c r="B11" s="296"/>
      <c r="C11" s="133" t="s">
        <v>132</v>
      </c>
      <c r="D11" s="110" t="s">
        <v>84</v>
      </c>
      <c r="E11" s="297"/>
    </row>
    <row r="12" spans="2:5" ht="21.6" customHeight="1" thickBot="1" x14ac:dyDescent="0.35">
      <c r="B12" s="296"/>
      <c r="C12" s="133" t="s">
        <v>133</v>
      </c>
      <c r="D12" s="109" t="s">
        <v>84</v>
      </c>
      <c r="E12" s="297"/>
    </row>
    <row r="13" spans="2:5" ht="21.6" customHeight="1" x14ac:dyDescent="0.3">
      <c r="B13" s="296"/>
      <c r="C13" s="133" t="s">
        <v>134</v>
      </c>
      <c r="D13" s="108" t="s">
        <v>84</v>
      </c>
      <c r="E13" s="297"/>
    </row>
    <row r="14" spans="2:5" ht="21.6" customHeight="1" x14ac:dyDescent="0.3">
      <c r="B14" s="296" t="s">
        <v>137</v>
      </c>
      <c r="C14" s="133" t="s">
        <v>131</v>
      </c>
      <c r="D14" s="132" t="s">
        <v>135</v>
      </c>
      <c r="E14" s="297"/>
    </row>
    <row r="15" spans="2:5" ht="21.6" customHeight="1" thickBot="1" x14ac:dyDescent="0.35">
      <c r="B15" s="296"/>
      <c r="C15" s="133" t="s">
        <v>132</v>
      </c>
      <c r="D15" s="110" t="s">
        <v>84</v>
      </c>
      <c r="E15" s="297"/>
    </row>
    <row r="16" spans="2:5" ht="21.6" customHeight="1" thickBot="1" x14ac:dyDescent="0.35">
      <c r="B16" s="296"/>
      <c r="C16" s="133" t="s">
        <v>133</v>
      </c>
      <c r="D16" s="109" t="s">
        <v>84</v>
      </c>
      <c r="E16" s="297"/>
    </row>
    <row r="17" spans="2:5" ht="21.6" customHeight="1" thickBot="1" x14ac:dyDescent="0.35">
      <c r="B17" s="296"/>
      <c r="C17" s="133" t="s">
        <v>134</v>
      </c>
      <c r="D17" s="108" t="s">
        <v>84</v>
      </c>
      <c r="E17" s="297"/>
    </row>
    <row r="18" spans="2:5" ht="21.6" customHeight="1" x14ac:dyDescent="0.3">
      <c r="B18" s="296" t="s">
        <v>138</v>
      </c>
      <c r="C18" s="297" t="s">
        <v>140</v>
      </c>
      <c r="D18" s="108" t="s">
        <v>81</v>
      </c>
      <c r="E18" s="297" t="s">
        <v>142</v>
      </c>
    </row>
    <row r="19" spans="2:5" ht="21.6" customHeight="1" x14ac:dyDescent="0.3">
      <c r="B19" s="296"/>
      <c r="C19" s="297"/>
      <c r="D19" s="109" t="s">
        <v>82</v>
      </c>
      <c r="E19" s="297"/>
    </row>
    <row r="20" spans="2:5" ht="21.6" customHeight="1" thickBot="1" x14ac:dyDescent="0.35">
      <c r="B20" s="296"/>
      <c r="C20" s="297"/>
      <c r="D20" s="110" t="s">
        <v>83</v>
      </c>
      <c r="E20" s="297"/>
    </row>
    <row r="21" spans="2:5" ht="21.6" customHeight="1" x14ac:dyDescent="0.3">
      <c r="B21" s="296" t="s">
        <v>139</v>
      </c>
      <c r="C21" s="297" t="s">
        <v>141</v>
      </c>
      <c r="D21" s="108" t="s">
        <v>81</v>
      </c>
      <c r="E21" s="297"/>
    </row>
    <row r="22" spans="2:5" ht="21.6" customHeight="1" x14ac:dyDescent="0.3">
      <c r="B22" s="296"/>
      <c r="C22" s="297"/>
      <c r="D22" s="109" t="s">
        <v>82</v>
      </c>
      <c r="E22" s="297"/>
    </row>
    <row r="23" spans="2:5" ht="21.6" customHeight="1" thickBot="1" x14ac:dyDescent="0.35">
      <c r="B23" s="296"/>
      <c r="C23" s="297"/>
      <c r="D23" s="110" t="s">
        <v>83</v>
      </c>
      <c r="E23" s="297"/>
    </row>
  </sheetData>
  <sheetProtection algorithmName="SHA-512" hashValue="DBvfiiDyizxJH0jmr+Q0s6gXI/KQYXBMTt9sHB+LFInzU6ibvt81Ijf54HgS6gkbNw3OLinRp5bFb9C+Y7XzaA==" saltValue="njXLJh1t836kb0rbsKs50A==" spinCount="100000" sheet="1" objects="1" scenarios="1" selectLockedCells="1"/>
  <mergeCells count="13">
    <mergeCell ref="B2:C2"/>
    <mergeCell ref="B18:B20"/>
    <mergeCell ref="B21:B23"/>
    <mergeCell ref="B10:B13"/>
    <mergeCell ref="E10:E17"/>
    <mergeCell ref="B14:B17"/>
    <mergeCell ref="E18:E23"/>
    <mergeCell ref="C18:C20"/>
    <mergeCell ref="C21:C23"/>
    <mergeCell ref="C4:C6"/>
    <mergeCell ref="C7:C9"/>
    <mergeCell ref="E4:E9"/>
    <mergeCell ref="B4:B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P111"/>
  <sheetViews>
    <sheetView topLeftCell="A14" zoomScale="85" zoomScaleNormal="85" workbookViewId="0">
      <selection activeCell="N22" sqref="N22"/>
    </sheetView>
  </sheetViews>
  <sheetFormatPr defaultColWidth="8.6640625" defaultRowHeight="14.4" x14ac:dyDescent="0.3"/>
  <cols>
    <col min="1" max="16" width="12.33203125" style="33" customWidth="1"/>
    <col min="17" max="16384" width="8.6640625" style="33"/>
  </cols>
  <sheetData>
    <row r="1" spans="1:12" ht="23.4" x14ac:dyDescent="0.45">
      <c r="A1" s="105" t="s">
        <v>186</v>
      </c>
      <c r="B1" s="167" t="s">
        <v>183</v>
      </c>
    </row>
    <row r="3" spans="1:12" x14ac:dyDescent="0.3">
      <c r="A3" s="198"/>
      <c r="B3" s="34" t="s">
        <v>147</v>
      </c>
      <c r="E3" s="198"/>
    </row>
    <row r="4" spans="1:12" x14ac:dyDescent="0.3">
      <c r="A4" s="198"/>
      <c r="B4" s="34" t="s">
        <v>148</v>
      </c>
      <c r="E4" s="198"/>
    </row>
    <row r="5" spans="1:12" x14ac:dyDescent="0.3">
      <c r="A5" s="198"/>
      <c r="B5" s="34" t="s">
        <v>149</v>
      </c>
      <c r="E5" s="198"/>
    </row>
    <row r="6" spans="1:12" s="102" customFormat="1" ht="21" x14ac:dyDescent="0.4">
      <c r="A6" s="199"/>
      <c r="B6" s="101" t="s">
        <v>106</v>
      </c>
      <c r="E6" s="199"/>
    </row>
    <row r="7" spans="1:12" s="104" customFormat="1" ht="43.5" customHeight="1" x14ac:dyDescent="0.4">
      <c r="A7" s="200"/>
      <c r="B7" s="105" t="s">
        <v>156</v>
      </c>
      <c r="E7" s="200"/>
    </row>
    <row r="8" spans="1:12" x14ac:dyDescent="0.3">
      <c r="B8" s="34" t="s">
        <v>185</v>
      </c>
      <c r="H8" s="198"/>
      <c r="I8" s="201" t="s">
        <v>53</v>
      </c>
      <c r="J8" s="198"/>
      <c r="K8" s="198"/>
      <c r="L8" s="198"/>
    </row>
    <row r="9" spans="1:12" ht="28.8" x14ac:dyDescent="0.3">
      <c r="A9" s="143"/>
      <c r="B9" s="156"/>
      <c r="C9" s="148" t="s">
        <v>9</v>
      </c>
      <c r="D9" s="148" t="s">
        <v>17</v>
      </c>
      <c r="E9" s="149" t="s">
        <v>33</v>
      </c>
      <c r="H9" s="143"/>
      <c r="I9" s="139"/>
      <c r="J9" s="148" t="s">
        <v>9</v>
      </c>
      <c r="K9" s="148" t="s">
        <v>17</v>
      </c>
      <c r="L9" s="149" t="s">
        <v>33</v>
      </c>
    </row>
    <row r="10" spans="1:12" x14ac:dyDescent="0.3">
      <c r="A10" s="144">
        <v>6</v>
      </c>
      <c r="B10" s="150" t="s">
        <v>165</v>
      </c>
      <c r="C10" s="151" t="e">
        <f t="shared" ref="C10:C27" si="0">IF(INDEX(Q3_Paeds,4+$A10,7)="No data",NA(),INDEX(Q3_Paeds,4+$A10,7))</f>
        <v>#N/A</v>
      </c>
      <c r="D10" s="151" t="e">
        <f t="shared" ref="D10:D27" si="1">IF(INDEX(Q3_Paeds,4+$A10,8)="No data",NA(),INDEX(Q3_Paeds,4+$A10,8))</f>
        <v>#N/A</v>
      </c>
      <c r="E10" s="152" t="e">
        <f t="shared" ref="E10:E27" si="2">MAX(C10:D10)</f>
        <v>#N/A</v>
      </c>
      <c r="H10" s="144">
        <v>11</v>
      </c>
      <c r="I10" s="150" t="s">
        <v>60</v>
      </c>
      <c r="J10" s="151" t="e">
        <f t="shared" ref="J10:J26" si="3">IF(INDEX(Q3_Adult,4+$H10,7)="No data",NA(),INDEX(Q3_Adult,4+$H10,7))</f>
        <v>#N/A</v>
      </c>
      <c r="K10" s="151" t="e">
        <f t="shared" ref="K10:K26" si="4">IF(INDEX(Q3_Adult,4+$H10,8)="No data",NA(),INDEX(Q3_Adult,4+$H10,8))</f>
        <v>#N/A</v>
      </c>
      <c r="L10" s="152" t="e">
        <f t="shared" ref="L10:L26" si="5">MAX(J10:K10)</f>
        <v>#N/A</v>
      </c>
    </row>
    <row r="11" spans="1:12" x14ac:dyDescent="0.3">
      <c r="A11" s="144">
        <v>9</v>
      </c>
      <c r="B11" s="150" t="s">
        <v>58</v>
      </c>
      <c r="C11" s="151" t="e">
        <f t="shared" si="0"/>
        <v>#N/A</v>
      </c>
      <c r="D11" s="151" t="e">
        <f t="shared" si="1"/>
        <v>#N/A</v>
      </c>
      <c r="E11" s="152" t="e">
        <f t="shared" si="2"/>
        <v>#N/A</v>
      </c>
      <c r="H11" s="144">
        <v>14</v>
      </c>
      <c r="I11" s="150" t="s">
        <v>52</v>
      </c>
      <c r="J11" s="151" t="e">
        <f t="shared" si="3"/>
        <v>#N/A</v>
      </c>
      <c r="K11" s="151" t="e">
        <f t="shared" si="4"/>
        <v>#N/A</v>
      </c>
      <c r="L11" s="152" t="e">
        <f t="shared" si="5"/>
        <v>#N/A</v>
      </c>
    </row>
    <row r="12" spans="1:12" x14ac:dyDescent="0.3">
      <c r="A12" s="144">
        <v>13</v>
      </c>
      <c r="B12" s="150" t="s">
        <v>56</v>
      </c>
      <c r="C12" s="151">
        <f t="shared" si="0"/>
        <v>0</v>
      </c>
      <c r="D12" s="151">
        <f t="shared" si="1"/>
        <v>0</v>
      </c>
      <c r="E12" s="152">
        <f t="shared" si="2"/>
        <v>0</v>
      </c>
      <c r="H12" s="144">
        <v>17</v>
      </c>
      <c r="I12" s="150" t="s">
        <v>62</v>
      </c>
      <c r="J12" s="151">
        <f t="shared" si="3"/>
        <v>0</v>
      </c>
      <c r="K12" s="151">
        <f t="shared" si="4"/>
        <v>0</v>
      </c>
      <c r="L12" s="152">
        <f t="shared" si="5"/>
        <v>0</v>
      </c>
    </row>
    <row r="13" spans="1:12" x14ac:dyDescent="0.3">
      <c r="A13" s="144">
        <v>15</v>
      </c>
      <c r="B13" s="150" t="s">
        <v>52</v>
      </c>
      <c r="C13" s="151">
        <f t="shared" si="0"/>
        <v>0</v>
      </c>
      <c r="D13" s="151">
        <f t="shared" si="1"/>
        <v>0</v>
      </c>
      <c r="E13" s="152">
        <f t="shared" si="2"/>
        <v>0</v>
      </c>
      <c r="H13" s="144">
        <v>1</v>
      </c>
      <c r="I13" s="150" t="s">
        <v>157</v>
      </c>
      <c r="J13" s="151">
        <f t="shared" si="3"/>
        <v>0</v>
      </c>
      <c r="K13" s="151">
        <f t="shared" si="4"/>
        <v>0</v>
      </c>
      <c r="L13" s="152">
        <f t="shared" si="5"/>
        <v>0</v>
      </c>
    </row>
    <row r="14" spans="1:12" x14ac:dyDescent="0.3">
      <c r="A14" s="144">
        <v>17</v>
      </c>
      <c r="B14" s="150" t="s">
        <v>54</v>
      </c>
      <c r="C14" s="151">
        <f t="shared" si="0"/>
        <v>4</v>
      </c>
      <c r="D14" s="151">
        <f t="shared" si="1"/>
        <v>4</v>
      </c>
      <c r="E14" s="152">
        <f t="shared" si="2"/>
        <v>4</v>
      </c>
      <c r="H14" s="144">
        <v>3</v>
      </c>
      <c r="I14" s="150" t="s">
        <v>159</v>
      </c>
      <c r="J14" s="151">
        <f t="shared" si="3"/>
        <v>0</v>
      </c>
      <c r="K14" s="151">
        <f t="shared" si="4"/>
        <v>0</v>
      </c>
      <c r="L14" s="152">
        <f t="shared" si="5"/>
        <v>0</v>
      </c>
    </row>
    <row r="15" spans="1:12" x14ac:dyDescent="0.3">
      <c r="A15" s="144">
        <v>3</v>
      </c>
      <c r="B15" s="150" t="s">
        <v>159</v>
      </c>
      <c r="C15" s="151">
        <f t="shared" si="0"/>
        <v>6</v>
      </c>
      <c r="D15" s="151">
        <f t="shared" si="1"/>
        <v>8</v>
      </c>
      <c r="E15" s="152">
        <f t="shared" si="2"/>
        <v>8</v>
      </c>
      <c r="H15" s="144">
        <v>4</v>
      </c>
      <c r="I15" s="150" t="s">
        <v>160</v>
      </c>
      <c r="J15" s="151">
        <f t="shared" si="3"/>
        <v>0</v>
      </c>
      <c r="K15" s="151">
        <f t="shared" si="4"/>
        <v>0</v>
      </c>
      <c r="L15" s="152">
        <f t="shared" si="5"/>
        <v>0</v>
      </c>
    </row>
    <row r="16" spans="1:12" x14ac:dyDescent="0.3">
      <c r="A16" s="144">
        <v>8</v>
      </c>
      <c r="B16" s="150" t="s">
        <v>162</v>
      </c>
      <c r="C16" s="151">
        <f t="shared" si="0"/>
        <v>11.13</v>
      </c>
      <c r="D16" s="151">
        <f t="shared" si="1"/>
        <v>5.2</v>
      </c>
      <c r="E16" s="152">
        <f t="shared" si="2"/>
        <v>11.13</v>
      </c>
      <c r="H16" s="144">
        <v>5</v>
      </c>
      <c r="I16" s="150" t="s">
        <v>161</v>
      </c>
      <c r="J16" s="151">
        <f t="shared" si="3"/>
        <v>0</v>
      </c>
      <c r="K16" s="151">
        <f t="shared" si="4"/>
        <v>0</v>
      </c>
      <c r="L16" s="152">
        <f t="shared" si="5"/>
        <v>0</v>
      </c>
    </row>
    <row r="17" spans="1:16" x14ac:dyDescent="0.3">
      <c r="A17" s="144">
        <v>18</v>
      </c>
      <c r="B17" s="150" t="s">
        <v>62</v>
      </c>
      <c r="C17" s="151">
        <f t="shared" si="0"/>
        <v>5</v>
      </c>
      <c r="D17" s="151">
        <f t="shared" si="1"/>
        <v>13</v>
      </c>
      <c r="E17" s="152">
        <f t="shared" si="2"/>
        <v>13</v>
      </c>
      <c r="H17" s="144">
        <v>6</v>
      </c>
      <c r="I17" s="150" t="s">
        <v>165</v>
      </c>
      <c r="J17" s="151">
        <f t="shared" si="3"/>
        <v>0</v>
      </c>
      <c r="K17" s="151">
        <f t="shared" si="4"/>
        <v>0</v>
      </c>
      <c r="L17" s="152">
        <f t="shared" si="5"/>
        <v>0</v>
      </c>
    </row>
    <row r="18" spans="1:16" x14ac:dyDescent="0.3">
      <c r="A18" s="144">
        <v>12</v>
      </c>
      <c r="B18" s="150" t="s">
        <v>60</v>
      </c>
      <c r="C18" s="151">
        <f t="shared" si="0"/>
        <v>15</v>
      </c>
      <c r="D18" s="151">
        <f t="shared" si="1"/>
        <v>4</v>
      </c>
      <c r="E18" s="152">
        <f t="shared" si="2"/>
        <v>15</v>
      </c>
      <c r="H18" s="144">
        <v>7</v>
      </c>
      <c r="I18" s="150" t="s">
        <v>166</v>
      </c>
      <c r="J18" s="151">
        <f t="shared" si="3"/>
        <v>0</v>
      </c>
      <c r="K18" s="151">
        <f t="shared" si="4"/>
        <v>0</v>
      </c>
      <c r="L18" s="152">
        <f t="shared" si="5"/>
        <v>0</v>
      </c>
    </row>
    <row r="19" spans="1:16" x14ac:dyDescent="0.3">
      <c r="A19" s="144">
        <v>4</v>
      </c>
      <c r="B19" s="150" t="s">
        <v>160</v>
      </c>
      <c r="C19" s="151">
        <f t="shared" si="0"/>
        <v>15.45</v>
      </c>
      <c r="D19" s="151">
        <f t="shared" si="1"/>
        <v>4.75</v>
      </c>
      <c r="E19" s="152">
        <f t="shared" si="2"/>
        <v>15.45</v>
      </c>
      <c r="H19" s="144">
        <v>8</v>
      </c>
      <c r="I19" s="150" t="s">
        <v>162</v>
      </c>
      <c r="J19" s="151">
        <f t="shared" si="3"/>
        <v>0</v>
      </c>
      <c r="K19" s="151">
        <f t="shared" si="4"/>
        <v>0</v>
      </c>
      <c r="L19" s="152">
        <f t="shared" si="5"/>
        <v>0</v>
      </c>
    </row>
    <row r="20" spans="1:16" x14ac:dyDescent="0.3">
      <c r="A20" s="144">
        <v>5</v>
      </c>
      <c r="B20" s="150" t="s">
        <v>161</v>
      </c>
      <c r="C20" s="151">
        <f t="shared" si="0"/>
        <v>12</v>
      </c>
      <c r="D20" s="151">
        <f t="shared" si="1"/>
        <v>17</v>
      </c>
      <c r="E20" s="152">
        <f t="shared" si="2"/>
        <v>17</v>
      </c>
      <c r="H20" s="144">
        <v>16</v>
      </c>
      <c r="I20" s="150" t="s">
        <v>54</v>
      </c>
      <c r="J20" s="151">
        <f t="shared" si="3"/>
        <v>5</v>
      </c>
      <c r="K20" s="151">
        <f t="shared" si="4"/>
        <v>0</v>
      </c>
      <c r="L20" s="152">
        <f t="shared" si="5"/>
        <v>5</v>
      </c>
    </row>
    <row r="21" spans="1:16" x14ac:dyDescent="0.3">
      <c r="A21" s="144">
        <v>14</v>
      </c>
      <c r="B21" s="150" t="s">
        <v>61</v>
      </c>
      <c r="C21" s="151">
        <f t="shared" si="0"/>
        <v>24</v>
      </c>
      <c r="D21" s="151">
        <f t="shared" si="1"/>
        <v>24</v>
      </c>
      <c r="E21" s="152">
        <f t="shared" si="2"/>
        <v>24</v>
      </c>
      <c r="H21" s="144">
        <v>15</v>
      </c>
      <c r="I21" s="150" t="s">
        <v>57</v>
      </c>
      <c r="J21" s="151">
        <f t="shared" si="3"/>
        <v>5</v>
      </c>
      <c r="K21" s="151">
        <f t="shared" si="4"/>
        <v>6</v>
      </c>
      <c r="L21" s="152">
        <f t="shared" si="5"/>
        <v>6</v>
      </c>
      <c r="P21" s="33" t="s">
        <v>55</v>
      </c>
    </row>
    <row r="22" spans="1:16" x14ac:dyDescent="0.3">
      <c r="A22" s="144">
        <v>1</v>
      </c>
      <c r="B22" s="150" t="s">
        <v>157</v>
      </c>
      <c r="C22" s="151">
        <f t="shared" si="0"/>
        <v>28</v>
      </c>
      <c r="D22" s="151">
        <f t="shared" si="1"/>
        <v>13</v>
      </c>
      <c r="E22" s="152">
        <f t="shared" si="2"/>
        <v>28</v>
      </c>
      <c r="H22" s="144">
        <v>2</v>
      </c>
      <c r="I22" s="150" t="s">
        <v>158</v>
      </c>
      <c r="J22" s="151">
        <f t="shared" si="3"/>
        <v>20</v>
      </c>
      <c r="K22" s="151">
        <f t="shared" si="4"/>
        <v>0</v>
      </c>
      <c r="L22" s="152">
        <f t="shared" si="5"/>
        <v>20</v>
      </c>
    </row>
    <row r="23" spans="1:16" x14ac:dyDescent="0.3">
      <c r="A23" s="144">
        <v>7</v>
      </c>
      <c r="B23" s="150" t="s">
        <v>166</v>
      </c>
      <c r="C23" s="151">
        <f t="shared" si="0"/>
        <v>18</v>
      </c>
      <c r="D23" s="151">
        <f t="shared" si="1"/>
        <v>32</v>
      </c>
      <c r="E23" s="152">
        <f t="shared" si="2"/>
        <v>32</v>
      </c>
      <c r="H23" s="144">
        <v>12</v>
      </c>
      <c r="I23" s="150" t="s">
        <v>56</v>
      </c>
      <c r="J23" s="151">
        <f t="shared" si="3"/>
        <v>24</v>
      </c>
      <c r="K23" s="151">
        <f t="shared" si="4"/>
        <v>24</v>
      </c>
      <c r="L23" s="152">
        <f t="shared" si="5"/>
        <v>24</v>
      </c>
    </row>
    <row r="24" spans="1:16" x14ac:dyDescent="0.3">
      <c r="A24" s="144">
        <v>2</v>
      </c>
      <c r="B24" s="150" t="s">
        <v>158</v>
      </c>
      <c r="C24" s="151">
        <f t="shared" si="0"/>
        <v>36</v>
      </c>
      <c r="D24" s="151">
        <f t="shared" si="1"/>
        <v>0</v>
      </c>
      <c r="E24" s="152">
        <f t="shared" si="2"/>
        <v>36</v>
      </c>
      <c r="H24" s="144">
        <v>10</v>
      </c>
      <c r="I24" s="150" t="s">
        <v>196</v>
      </c>
      <c r="J24" s="151">
        <f t="shared" si="3"/>
        <v>26</v>
      </c>
      <c r="K24" s="151" t="str">
        <f t="shared" si="4"/>
        <v>N/A</v>
      </c>
      <c r="L24" s="152">
        <f t="shared" si="5"/>
        <v>26</v>
      </c>
    </row>
    <row r="25" spans="1:16" x14ac:dyDescent="0.3">
      <c r="A25" s="144">
        <v>10</v>
      </c>
      <c r="B25" s="150" t="s">
        <v>59</v>
      </c>
      <c r="C25" s="151">
        <f t="shared" si="0"/>
        <v>40</v>
      </c>
      <c r="D25" s="151">
        <f t="shared" si="1"/>
        <v>6</v>
      </c>
      <c r="E25" s="152">
        <f t="shared" si="2"/>
        <v>40</v>
      </c>
      <c r="H25" s="144">
        <v>9</v>
      </c>
      <c r="I25" s="150" t="s">
        <v>58</v>
      </c>
      <c r="J25" s="151">
        <f t="shared" si="3"/>
        <v>32</v>
      </c>
      <c r="K25" s="151">
        <f t="shared" si="4"/>
        <v>32</v>
      </c>
      <c r="L25" s="152">
        <f t="shared" si="5"/>
        <v>32</v>
      </c>
    </row>
    <row r="26" spans="1:16" x14ac:dyDescent="0.3">
      <c r="A26" s="144">
        <v>16</v>
      </c>
      <c r="B26" s="150" t="s">
        <v>57</v>
      </c>
      <c r="C26" s="151">
        <f t="shared" si="0"/>
        <v>44</v>
      </c>
      <c r="D26" s="151">
        <f t="shared" si="1"/>
        <v>44</v>
      </c>
      <c r="E26" s="152">
        <f t="shared" si="2"/>
        <v>44</v>
      </c>
      <c r="H26" s="145">
        <v>13</v>
      </c>
      <c r="I26" s="153" t="s">
        <v>61</v>
      </c>
      <c r="J26" s="151">
        <f t="shared" si="3"/>
        <v>36</v>
      </c>
      <c r="K26" s="151">
        <f t="shared" si="4"/>
        <v>0</v>
      </c>
      <c r="L26" s="152">
        <f t="shared" si="5"/>
        <v>36</v>
      </c>
    </row>
    <row r="27" spans="1:16" x14ac:dyDescent="0.3">
      <c r="A27" s="145">
        <v>11</v>
      </c>
      <c r="B27" s="153" t="s">
        <v>208</v>
      </c>
      <c r="C27" s="154">
        <f t="shared" si="0"/>
        <v>62</v>
      </c>
      <c r="D27" s="154">
        <f t="shared" si="1"/>
        <v>0</v>
      </c>
      <c r="E27" s="155">
        <f t="shared" si="2"/>
        <v>62</v>
      </c>
    </row>
    <row r="31" spans="1:16" s="103" customFormat="1" ht="18" x14ac:dyDescent="0.35">
      <c r="B31" s="103" t="s">
        <v>107</v>
      </c>
    </row>
    <row r="32" spans="1:16" s="104" customFormat="1" ht="43.5" customHeight="1" x14ac:dyDescent="0.4">
      <c r="B32" s="105" t="s">
        <v>156</v>
      </c>
    </row>
    <row r="33" spans="1:13" x14ac:dyDescent="0.3">
      <c r="B33" s="46"/>
      <c r="C33" s="238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5" customHeight="1" x14ac:dyDescent="0.3">
      <c r="A34" s="42"/>
      <c r="B34" s="135" t="s">
        <v>72</v>
      </c>
      <c r="C34" s="42"/>
      <c r="D34" s="42"/>
      <c r="E34" s="42"/>
      <c r="F34" s="135"/>
      <c r="G34" s="135"/>
      <c r="H34" s="46"/>
      <c r="I34" s="135" t="s">
        <v>70</v>
      </c>
      <c r="J34" s="137"/>
      <c r="K34" s="138"/>
      <c r="L34" s="138"/>
      <c r="M34" s="138"/>
    </row>
    <row r="35" spans="1:13" x14ac:dyDescent="0.3">
      <c r="A35" s="143"/>
      <c r="B35" s="139"/>
      <c r="C35" s="139" t="s">
        <v>93</v>
      </c>
      <c r="D35" s="139" t="s">
        <v>94</v>
      </c>
      <c r="E35" s="139" t="s">
        <v>36</v>
      </c>
      <c r="F35" s="140" t="s">
        <v>182</v>
      </c>
      <c r="G35" s="135"/>
      <c r="H35" s="143"/>
      <c r="I35" s="139"/>
      <c r="J35" s="139" t="s">
        <v>93</v>
      </c>
      <c r="K35" s="139" t="s">
        <v>94</v>
      </c>
      <c r="L35" s="139" t="s">
        <v>36</v>
      </c>
      <c r="M35" s="140" t="s">
        <v>182</v>
      </c>
    </row>
    <row r="36" spans="1:13" x14ac:dyDescent="0.3">
      <c r="A36" s="144">
        <v>6</v>
      </c>
      <c r="B36" s="150" t="s">
        <v>165</v>
      </c>
      <c r="C36" s="151" t="e">
        <f t="shared" ref="C36:C53" si="6">IF(INDEX(Q3_Paeds,4+$A36,10)="No data",NA(),INDEX(Q3_Paeds,4+$A36,10))</f>
        <v>#N/A</v>
      </c>
      <c r="D36" s="151" t="e">
        <f t="shared" ref="D36:D53" si="7">IF(INDEX(Q3_Paeds,4+$A36,11)="No data",NA(),INDEX(Q3_Paeds,4+$A36,11))</f>
        <v>#N/A</v>
      </c>
      <c r="E36" s="151" t="e">
        <f t="shared" ref="E36:E53" si="8">IF(INDEX(Q3_Paeds,4+$A36,12)="No data",NA(),INDEX(Q3_Paeds,4+$A36,12))</f>
        <v>#N/A</v>
      </c>
      <c r="F36" s="141" t="e">
        <f t="shared" ref="F36:F53" si="9">SUM(C36:E36)</f>
        <v>#N/A</v>
      </c>
      <c r="G36" s="136"/>
      <c r="H36" s="144">
        <v>11</v>
      </c>
      <c r="I36" s="150" t="s">
        <v>60</v>
      </c>
      <c r="J36" s="151" t="e">
        <f t="shared" ref="J36:J52" si="10">IF(INDEX(Q3_Adult,4+$H36,10)="No data",NA(),INDEX(Q3_Adult,4+$H36,10))</f>
        <v>#N/A</v>
      </c>
      <c r="K36" s="151" t="e">
        <f t="shared" ref="K36:K52" si="11">IF(INDEX(Q3_Adult,4+$H36,11)="No data",NA(),INDEX(Q3_Adult,4+$H36,11))</f>
        <v>#N/A</v>
      </c>
      <c r="L36" s="151" t="e">
        <f t="shared" ref="L36:L52" si="12">IF(INDEX(Q3_Adult,4+$H36,12)="No data",NA(),INDEX(Q3_Adult,4+$H36,12))</f>
        <v>#N/A</v>
      </c>
      <c r="M36" s="141" t="e">
        <f t="shared" ref="M36:M52" si="13">SUM(J36:L36)</f>
        <v>#N/A</v>
      </c>
    </row>
    <row r="37" spans="1:13" x14ac:dyDescent="0.3">
      <c r="A37" s="144">
        <v>9</v>
      </c>
      <c r="B37" s="150" t="s">
        <v>58</v>
      </c>
      <c r="C37" s="151" t="e">
        <f t="shared" si="6"/>
        <v>#N/A</v>
      </c>
      <c r="D37" s="151" t="e">
        <f t="shared" si="7"/>
        <v>#N/A</v>
      </c>
      <c r="E37" s="151" t="e">
        <f t="shared" si="8"/>
        <v>#N/A</v>
      </c>
      <c r="F37" s="141" t="e">
        <f t="shared" si="9"/>
        <v>#N/A</v>
      </c>
      <c r="G37" s="136"/>
      <c r="H37" s="144">
        <v>14</v>
      </c>
      <c r="I37" s="150" t="s">
        <v>52</v>
      </c>
      <c r="J37" s="151" t="e">
        <f t="shared" si="10"/>
        <v>#N/A</v>
      </c>
      <c r="K37" s="151" t="e">
        <f t="shared" si="11"/>
        <v>#N/A</v>
      </c>
      <c r="L37" s="151" t="e">
        <f t="shared" si="12"/>
        <v>#N/A</v>
      </c>
      <c r="M37" s="141" t="e">
        <f t="shared" si="13"/>
        <v>#N/A</v>
      </c>
    </row>
    <row r="38" spans="1:13" x14ac:dyDescent="0.3">
      <c r="A38" s="144">
        <v>3</v>
      </c>
      <c r="B38" s="150" t="s">
        <v>159</v>
      </c>
      <c r="C38" s="151">
        <f t="shared" si="6"/>
        <v>0</v>
      </c>
      <c r="D38" s="151">
        <f t="shared" si="7"/>
        <v>0</v>
      </c>
      <c r="E38" s="151">
        <f t="shared" si="8"/>
        <v>0</v>
      </c>
      <c r="F38" s="141">
        <f t="shared" si="9"/>
        <v>0</v>
      </c>
      <c r="G38" s="136"/>
      <c r="H38" s="144">
        <v>3</v>
      </c>
      <c r="I38" s="150" t="s">
        <v>159</v>
      </c>
      <c r="J38" s="151">
        <f t="shared" si="10"/>
        <v>0</v>
      </c>
      <c r="K38" s="151">
        <f t="shared" si="11"/>
        <v>0</v>
      </c>
      <c r="L38" s="151">
        <f t="shared" si="12"/>
        <v>0</v>
      </c>
      <c r="M38" s="141">
        <f t="shared" si="13"/>
        <v>0</v>
      </c>
    </row>
    <row r="39" spans="1:13" x14ac:dyDescent="0.3">
      <c r="A39" s="144">
        <v>15</v>
      </c>
      <c r="B39" s="150" t="s">
        <v>52</v>
      </c>
      <c r="C39" s="151">
        <f t="shared" si="6"/>
        <v>0</v>
      </c>
      <c r="D39" s="151">
        <f t="shared" si="7"/>
        <v>0</v>
      </c>
      <c r="E39" s="151">
        <f t="shared" si="8"/>
        <v>0</v>
      </c>
      <c r="F39" s="141">
        <f t="shared" si="9"/>
        <v>0</v>
      </c>
      <c r="G39" s="136"/>
      <c r="H39" s="144">
        <v>4</v>
      </c>
      <c r="I39" s="150" t="s">
        <v>160</v>
      </c>
      <c r="J39" s="151">
        <f t="shared" si="10"/>
        <v>0</v>
      </c>
      <c r="K39" s="151">
        <f t="shared" si="11"/>
        <v>0</v>
      </c>
      <c r="L39" s="151">
        <f t="shared" si="12"/>
        <v>0</v>
      </c>
      <c r="M39" s="141">
        <f t="shared" si="13"/>
        <v>0</v>
      </c>
    </row>
    <row r="40" spans="1:13" x14ac:dyDescent="0.3">
      <c r="A40" s="144">
        <v>18</v>
      </c>
      <c r="B40" s="150" t="s">
        <v>62</v>
      </c>
      <c r="C40" s="151">
        <f t="shared" si="6"/>
        <v>0</v>
      </c>
      <c r="D40" s="151">
        <f t="shared" si="7"/>
        <v>0</v>
      </c>
      <c r="E40" s="151">
        <f t="shared" si="8"/>
        <v>0</v>
      </c>
      <c r="F40" s="141">
        <f t="shared" si="9"/>
        <v>0</v>
      </c>
      <c r="G40" s="136"/>
      <c r="H40" s="144">
        <v>5</v>
      </c>
      <c r="I40" s="150" t="s">
        <v>161</v>
      </c>
      <c r="J40" s="151">
        <f t="shared" si="10"/>
        <v>0</v>
      </c>
      <c r="K40" s="151">
        <f t="shared" si="11"/>
        <v>0</v>
      </c>
      <c r="L40" s="151">
        <f t="shared" si="12"/>
        <v>0</v>
      </c>
      <c r="M40" s="141">
        <f t="shared" si="13"/>
        <v>0</v>
      </c>
    </row>
    <row r="41" spans="1:13" x14ac:dyDescent="0.3">
      <c r="A41" s="144">
        <v>4</v>
      </c>
      <c r="B41" s="150" t="s">
        <v>160</v>
      </c>
      <c r="C41" s="151">
        <f t="shared" si="6"/>
        <v>1</v>
      </c>
      <c r="D41" s="151">
        <f t="shared" si="7"/>
        <v>0</v>
      </c>
      <c r="E41" s="151">
        <f t="shared" si="8"/>
        <v>0</v>
      </c>
      <c r="F41" s="141">
        <f t="shared" si="9"/>
        <v>1</v>
      </c>
      <c r="G41" s="136"/>
      <c r="H41" s="144">
        <v>6</v>
      </c>
      <c r="I41" s="150" t="s">
        <v>165</v>
      </c>
      <c r="J41" s="151">
        <f t="shared" si="10"/>
        <v>0</v>
      </c>
      <c r="K41" s="151">
        <f t="shared" si="11"/>
        <v>0</v>
      </c>
      <c r="L41" s="151">
        <f t="shared" si="12"/>
        <v>0</v>
      </c>
      <c r="M41" s="141">
        <f t="shared" si="13"/>
        <v>0</v>
      </c>
    </row>
    <row r="42" spans="1:13" x14ac:dyDescent="0.3">
      <c r="A42" s="144">
        <v>7</v>
      </c>
      <c r="B42" s="150" t="s">
        <v>166</v>
      </c>
      <c r="C42" s="151">
        <f t="shared" si="6"/>
        <v>1</v>
      </c>
      <c r="D42" s="151">
        <f t="shared" si="7"/>
        <v>0</v>
      </c>
      <c r="E42" s="151">
        <f t="shared" si="8"/>
        <v>0</v>
      </c>
      <c r="F42" s="141">
        <f t="shared" si="9"/>
        <v>1</v>
      </c>
      <c r="G42" s="136"/>
      <c r="H42" s="144">
        <v>15</v>
      </c>
      <c r="I42" s="150" t="s">
        <v>57</v>
      </c>
      <c r="J42" s="151">
        <f t="shared" si="10"/>
        <v>0</v>
      </c>
      <c r="K42" s="151">
        <f t="shared" si="11"/>
        <v>0</v>
      </c>
      <c r="L42" s="151">
        <f t="shared" si="12"/>
        <v>0</v>
      </c>
      <c r="M42" s="141">
        <f t="shared" si="13"/>
        <v>0</v>
      </c>
    </row>
    <row r="43" spans="1:13" x14ac:dyDescent="0.3">
      <c r="A43" s="144">
        <v>10</v>
      </c>
      <c r="B43" s="150" t="s">
        <v>59</v>
      </c>
      <c r="C43" s="151">
        <f t="shared" si="6"/>
        <v>0</v>
      </c>
      <c r="D43" s="151">
        <f t="shared" si="7"/>
        <v>1</v>
      </c>
      <c r="E43" s="151">
        <f t="shared" si="8"/>
        <v>0</v>
      </c>
      <c r="F43" s="141">
        <f t="shared" si="9"/>
        <v>1</v>
      </c>
      <c r="G43" s="136"/>
      <c r="H43" s="144">
        <v>16</v>
      </c>
      <c r="I43" s="150" t="s">
        <v>54</v>
      </c>
      <c r="J43" s="151">
        <f t="shared" si="10"/>
        <v>0</v>
      </c>
      <c r="K43" s="151">
        <f t="shared" si="11"/>
        <v>0</v>
      </c>
      <c r="L43" s="151">
        <f t="shared" si="12"/>
        <v>0</v>
      </c>
      <c r="M43" s="141">
        <f t="shared" si="13"/>
        <v>0</v>
      </c>
    </row>
    <row r="44" spans="1:13" x14ac:dyDescent="0.3">
      <c r="A44" s="144">
        <v>5</v>
      </c>
      <c r="B44" s="150" t="s">
        <v>161</v>
      </c>
      <c r="C44" s="151">
        <f t="shared" si="6"/>
        <v>2</v>
      </c>
      <c r="D44" s="151">
        <f t="shared" si="7"/>
        <v>5</v>
      </c>
      <c r="E44" s="151">
        <f t="shared" si="8"/>
        <v>0</v>
      </c>
      <c r="F44" s="141">
        <f t="shared" si="9"/>
        <v>7</v>
      </c>
      <c r="G44" s="136"/>
      <c r="H44" s="144">
        <v>7</v>
      </c>
      <c r="I44" s="150" t="s">
        <v>166</v>
      </c>
      <c r="J44" s="151">
        <f t="shared" si="10"/>
        <v>1</v>
      </c>
      <c r="K44" s="151">
        <f t="shared" si="11"/>
        <v>1</v>
      </c>
      <c r="L44" s="151">
        <f t="shared" si="12"/>
        <v>0</v>
      </c>
      <c r="M44" s="141">
        <f t="shared" si="13"/>
        <v>2</v>
      </c>
    </row>
    <row r="45" spans="1:13" x14ac:dyDescent="0.3">
      <c r="A45" s="144">
        <v>8</v>
      </c>
      <c r="B45" s="150" t="s">
        <v>162</v>
      </c>
      <c r="C45" s="151">
        <f t="shared" si="6"/>
        <v>12</v>
      </c>
      <c r="D45" s="151">
        <f t="shared" si="7"/>
        <v>0</v>
      </c>
      <c r="E45" s="151">
        <f t="shared" si="8"/>
        <v>0</v>
      </c>
      <c r="F45" s="141">
        <f t="shared" si="9"/>
        <v>12</v>
      </c>
      <c r="G45" s="136"/>
      <c r="H45" s="144">
        <v>1</v>
      </c>
      <c r="I45" s="150" t="s">
        <v>157</v>
      </c>
      <c r="J45" s="151">
        <f t="shared" si="10"/>
        <v>9</v>
      </c>
      <c r="K45" s="151">
        <f t="shared" si="11"/>
        <v>6</v>
      </c>
      <c r="L45" s="151">
        <f t="shared" si="12"/>
        <v>0</v>
      </c>
      <c r="M45" s="141">
        <f t="shared" si="13"/>
        <v>15</v>
      </c>
    </row>
    <row r="46" spans="1:13" x14ac:dyDescent="0.3">
      <c r="A46" s="144">
        <v>12</v>
      </c>
      <c r="B46" s="150" t="s">
        <v>60</v>
      </c>
      <c r="C46" s="151">
        <f t="shared" si="6"/>
        <v>55</v>
      </c>
      <c r="D46" s="151">
        <f t="shared" si="7"/>
        <v>40</v>
      </c>
      <c r="E46" s="151">
        <f t="shared" si="8"/>
        <v>0</v>
      </c>
      <c r="F46" s="141">
        <f t="shared" si="9"/>
        <v>95</v>
      </c>
      <c r="G46" s="136"/>
      <c r="H46" s="144">
        <v>17</v>
      </c>
      <c r="I46" s="150" t="s">
        <v>62</v>
      </c>
      <c r="J46" s="151">
        <f t="shared" si="10"/>
        <v>11</v>
      </c>
      <c r="K46" s="151">
        <f t="shared" si="11"/>
        <v>23</v>
      </c>
      <c r="L46" s="151">
        <f t="shared" si="12"/>
        <v>3</v>
      </c>
      <c r="M46" s="141">
        <f t="shared" si="13"/>
        <v>37</v>
      </c>
    </row>
    <row r="47" spans="1:13" x14ac:dyDescent="0.3">
      <c r="A47" s="144">
        <v>16</v>
      </c>
      <c r="B47" s="150" t="s">
        <v>57</v>
      </c>
      <c r="C47" s="151">
        <f t="shared" si="6"/>
        <v>13</v>
      </c>
      <c r="D47" s="151">
        <f t="shared" si="7"/>
        <v>22</v>
      </c>
      <c r="E47" s="151">
        <f t="shared" si="8"/>
        <v>61</v>
      </c>
      <c r="F47" s="141">
        <f t="shared" si="9"/>
        <v>96</v>
      </c>
      <c r="G47" s="136"/>
      <c r="H47" s="144">
        <v>9</v>
      </c>
      <c r="I47" s="150" t="s">
        <v>58</v>
      </c>
      <c r="J47" s="151">
        <f t="shared" si="10"/>
        <v>18</v>
      </c>
      <c r="K47" s="151">
        <f t="shared" si="11"/>
        <v>38</v>
      </c>
      <c r="L47" s="151">
        <f t="shared" si="12"/>
        <v>8</v>
      </c>
      <c r="M47" s="141">
        <f t="shared" si="13"/>
        <v>64</v>
      </c>
    </row>
    <row r="48" spans="1:13" x14ac:dyDescent="0.3">
      <c r="A48" s="144">
        <v>1</v>
      </c>
      <c r="B48" s="150" t="s">
        <v>157</v>
      </c>
      <c r="C48" s="151">
        <f t="shared" si="6"/>
        <v>20</v>
      </c>
      <c r="D48" s="151">
        <f t="shared" si="7"/>
        <v>40</v>
      </c>
      <c r="E48" s="151">
        <f t="shared" si="8"/>
        <v>42</v>
      </c>
      <c r="F48" s="141">
        <f t="shared" si="9"/>
        <v>102</v>
      </c>
      <c r="G48" s="136"/>
      <c r="H48" s="144">
        <v>12</v>
      </c>
      <c r="I48" s="150" t="s">
        <v>56</v>
      </c>
      <c r="J48" s="151">
        <f t="shared" si="10"/>
        <v>7</v>
      </c>
      <c r="K48" s="151">
        <f t="shared" si="11"/>
        <v>21</v>
      </c>
      <c r="L48" s="151">
        <f t="shared" si="12"/>
        <v>45</v>
      </c>
      <c r="M48" s="141">
        <f t="shared" si="13"/>
        <v>73</v>
      </c>
    </row>
    <row r="49" spans="1:13" x14ac:dyDescent="0.3">
      <c r="A49" s="144">
        <v>17</v>
      </c>
      <c r="B49" s="150" t="s">
        <v>54</v>
      </c>
      <c r="C49" s="151">
        <f t="shared" si="6"/>
        <v>57</v>
      </c>
      <c r="D49" s="151">
        <f t="shared" si="7"/>
        <v>60</v>
      </c>
      <c r="E49" s="151">
        <f t="shared" si="8"/>
        <v>2</v>
      </c>
      <c r="F49" s="141">
        <f t="shared" si="9"/>
        <v>119</v>
      </c>
      <c r="G49" s="136"/>
      <c r="H49" s="144">
        <v>2</v>
      </c>
      <c r="I49" s="150" t="s">
        <v>158</v>
      </c>
      <c r="J49" s="151">
        <f t="shared" si="10"/>
        <v>27</v>
      </c>
      <c r="K49" s="151">
        <f t="shared" si="11"/>
        <v>46</v>
      </c>
      <c r="L49" s="151">
        <f t="shared" si="12"/>
        <v>19</v>
      </c>
      <c r="M49" s="141">
        <f t="shared" si="13"/>
        <v>92</v>
      </c>
    </row>
    <row r="50" spans="1:13" x14ac:dyDescent="0.3">
      <c r="A50" s="144">
        <v>13</v>
      </c>
      <c r="B50" s="150" t="s">
        <v>56</v>
      </c>
      <c r="C50" s="151">
        <f t="shared" si="6"/>
        <v>32</v>
      </c>
      <c r="D50" s="151">
        <f t="shared" si="7"/>
        <v>49</v>
      </c>
      <c r="E50" s="151">
        <f t="shared" si="8"/>
        <v>57</v>
      </c>
      <c r="F50" s="141">
        <f t="shared" si="9"/>
        <v>138</v>
      </c>
      <c r="G50" s="136"/>
      <c r="H50" s="144">
        <v>8</v>
      </c>
      <c r="I50" s="150" t="s">
        <v>162</v>
      </c>
      <c r="J50" s="151">
        <f t="shared" si="10"/>
        <v>30</v>
      </c>
      <c r="K50" s="151">
        <f t="shared" si="11"/>
        <v>35</v>
      </c>
      <c r="L50" s="151">
        <f t="shared" si="12"/>
        <v>40</v>
      </c>
      <c r="M50" s="141">
        <f t="shared" si="13"/>
        <v>105</v>
      </c>
    </row>
    <row r="51" spans="1:13" x14ac:dyDescent="0.3">
      <c r="A51" s="144">
        <v>14</v>
      </c>
      <c r="B51" s="150" t="s">
        <v>61</v>
      </c>
      <c r="C51" s="151">
        <f t="shared" si="6"/>
        <v>98</v>
      </c>
      <c r="D51" s="151">
        <f t="shared" si="7"/>
        <v>39</v>
      </c>
      <c r="E51" s="151">
        <f t="shared" si="8"/>
        <v>1</v>
      </c>
      <c r="F51" s="141">
        <f t="shared" si="9"/>
        <v>138</v>
      </c>
      <c r="G51" s="136"/>
      <c r="H51" s="144">
        <v>13</v>
      </c>
      <c r="I51" s="150" t="s">
        <v>61</v>
      </c>
      <c r="J51" s="151">
        <f t="shared" si="10"/>
        <v>73</v>
      </c>
      <c r="K51" s="151">
        <f t="shared" si="11"/>
        <v>77</v>
      </c>
      <c r="L51" s="151">
        <f t="shared" si="12"/>
        <v>90</v>
      </c>
      <c r="M51" s="141">
        <f t="shared" si="13"/>
        <v>240</v>
      </c>
    </row>
    <row r="52" spans="1:13" x14ac:dyDescent="0.3">
      <c r="A52" s="144">
        <v>2</v>
      </c>
      <c r="B52" s="150" t="s">
        <v>158</v>
      </c>
      <c r="C52" s="151">
        <f t="shared" si="6"/>
        <v>117</v>
      </c>
      <c r="D52" s="151">
        <f t="shared" si="7"/>
        <v>217</v>
      </c>
      <c r="E52" s="151">
        <f t="shared" si="8"/>
        <v>229</v>
      </c>
      <c r="F52" s="141">
        <f t="shared" si="9"/>
        <v>563</v>
      </c>
      <c r="G52" s="136"/>
      <c r="H52" s="145">
        <v>10</v>
      </c>
      <c r="I52" s="153" t="s">
        <v>196</v>
      </c>
      <c r="J52" s="151">
        <f t="shared" si="10"/>
        <v>392</v>
      </c>
      <c r="K52" s="151">
        <f t="shared" si="11"/>
        <v>229</v>
      </c>
      <c r="L52" s="151">
        <f t="shared" si="12"/>
        <v>50</v>
      </c>
      <c r="M52" s="141">
        <f t="shared" si="13"/>
        <v>671</v>
      </c>
    </row>
    <row r="53" spans="1:13" x14ac:dyDescent="0.3">
      <c r="A53" s="145">
        <v>11</v>
      </c>
      <c r="B53" s="153" t="s">
        <v>208</v>
      </c>
      <c r="C53" s="154">
        <f t="shared" si="6"/>
        <v>331</v>
      </c>
      <c r="D53" s="154">
        <f t="shared" si="7"/>
        <v>281</v>
      </c>
      <c r="E53" s="154">
        <f t="shared" si="8"/>
        <v>240</v>
      </c>
      <c r="F53" s="142">
        <f t="shared" si="9"/>
        <v>852</v>
      </c>
      <c r="G53" s="136"/>
    </row>
    <row r="54" spans="1:13" x14ac:dyDescent="0.3">
      <c r="A54" s="136"/>
    </row>
    <row r="55" spans="1:13" s="42" customFormat="1" x14ac:dyDescent="0.3">
      <c r="B55" s="76"/>
      <c r="C55" s="53"/>
      <c r="D55" s="53"/>
      <c r="E55" s="77"/>
      <c r="F55" s="53"/>
    </row>
    <row r="56" spans="1:13" x14ac:dyDescent="0.3">
      <c r="B56" s="244" t="s">
        <v>73</v>
      </c>
      <c r="H56" s="135" t="s">
        <v>71</v>
      </c>
      <c r="I56" s="238"/>
      <c r="J56" s="46"/>
      <c r="K56" s="46"/>
      <c r="L56" s="46"/>
    </row>
    <row r="57" spans="1:13" x14ac:dyDescent="0.3">
      <c r="A57" s="143"/>
      <c r="B57" s="245"/>
      <c r="C57" s="139" t="s">
        <v>93</v>
      </c>
      <c r="D57" s="139" t="s">
        <v>94</v>
      </c>
      <c r="E57" s="139" t="s">
        <v>36</v>
      </c>
      <c r="F57" s="140" t="s">
        <v>182</v>
      </c>
      <c r="G57" s="157"/>
      <c r="H57" s="143"/>
      <c r="I57" s="139"/>
      <c r="J57" s="139" t="s">
        <v>93</v>
      </c>
      <c r="K57" s="139" t="s">
        <v>94</v>
      </c>
      <c r="L57" s="139" t="s">
        <v>36</v>
      </c>
      <c r="M57" s="140" t="s">
        <v>182</v>
      </c>
    </row>
    <row r="58" spans="1:13" x14ac:dyDescent="0.3">
      <c r="A58" s="144">
        <v>6</v>
      </c>
      <c r="B58" s="150" t="s">
        <v>165</v>
      </c>
      <c r="C58" s="146" t="e">
        <f t="shared" ref="C58:C75" si="14">IF(INDEX(Q3_Paeds,4+$A58,16)="No data",NA(),INDEX(Q3_Paeds,4+$A58,16))</f>
        <v>#N/A</v>
      </c>
      <c r="D58" s="146" t="e">
        <f t="shared" ref="D58:D75" si="15">IF(INDEX(Q3_Paeds,4+$A58,17)="No data",NA(),INDEX(Q3_Paeds,4+$A58,17))</f>
        <v>#N/A</v>
      </c>
      <c r="E58" s="146" t="e">
        <f t="shared" ref="E58:E75" si="16">IF(INDEX(Q3_Paeds,4+$A58,18)="No data",NA(),INDEX(Q3_Paeds,4+$A58,18))</f>
        <v>#N/A</v>
      </c>
      <c r="F58" s="141" t="e">
        <f t="shared" ref="F58:F75" si="17">SUM(C58:E58)</f>
        <v>#N/A</v>
      </c>
      <c r="G58" s="158"/>
      <c r="H58" s="144">
        <v>11</v>
      </c>
      <c r="I58" s="150" t="s">
        <v>60</v>
      </c>
      <c r="J58" s="151" t="e">
        <f t="shared" ref="J58:J59" si="18">IF(INDEX(Q3_Adult,4+$H58,16)="No data",NA(),INDEX(Q3_Adult,4+$H58,16))</f>
        <v>#N/A</v>
      </c>
      <c r="K58" s="151" t="e">
        <f t="shared" ref="K58:K59" si="19">IF(INDEX(Q3_Adult,4+$H58,17)="No data",NA(),INDEX(Q3_Adult,4+$H58,17))</f>
        <v>#N/A</v>
      </c>
      <c r="L58" s="151" t="e">
        <f t="shared" ref="L58:L59" si="20">IF(INDEX(Q3_Adult,4+$H58,18)="No data",NA(),INDEX(Q3_Adult,4+$H58,18))</f>
        <v>#N/A</v>
      </c>
      <c r="M58" s="141" t="e">
        <f t="shared" ref="M58:M59" si="21">SUM(J58:L58)</f>
        <v>#N/A</v>
      </c>
    </row>
    <row r="59" spans="1:13" x14ac:dyDescent="0.3">
      <c r="A59" s="144">
        <v>9</v>
      </c>
      <c r="B59" s="150" t="s">
        <v>58</v>
      </c>
      <c r="C59" s="146" t="e">
        <f t="shared" si="14"/>
        <v>#N/A</v>
      </c>
      <c r="D59" s="146" t="e">
        <f t="shared" si="15"/>
        <v>#N/A</v>
      </c>
      <c r="E59" s="146" t="e">
        <f t="shared" si="16"/>
        <v>#N/A</v>
      </c>
      <c r="F59" s="141" t="e">
        <f t="shared" si="17"/>
        <v>#N/A</v>
      </c>
      <c r="G59" s="158"/>
      <c r="H59" s="144">
        <v>14</v>
      </c>
      <c r="I59" s="150" t="s">
        <v>52</v>
      </c>
      <c r="J59" s="151" t="e">
        <f t="shared" si="18"/>
        <v>#N/A</v>
      </c>
      <c r="K59" s="151" t="e">
        <f t="shared" si="19"/>
        <v>#N/A</v>
      </c>
      <c r="L59" s="151" t="e">
        <f t="shared" si="20"/>
        <v>#N/A</v>
      </c>
      <c r="M59" s="141" t="e">
        <f t="shared" si="21"/>
        <v>#N/A</v>
      </c>
    </row>
    <row r="60" spans="1:13" x14ac:dyDescent="0.3">
      <c r="A60" s="144">
        <v>2</v>
      </c>
      <c r="B60" s="150" t="s">
        <v>158</v>
      </c>
      <c r="C60" s="146">
        <f t="shared" si="14"/>
        <v>0</v>
      </c>
      <c r="D60" s="146">
        <f t="shared" si="15"/>
        <v>0</v>
      </c>
      <c r="E60" s="146">
        <f t="shared" si="16"/>
        <v>0</v>
      </c>
      <c r="F60" s="141">
        <f t="shared" si="17"/>
        <v>0</v>
      </c>
      <c r="G60" s="158"/>
      <c r="H60" s="144">
        <v>2</v>
      </c>
      <c r="I60" s="150" t="s">
        <v>158</v>
      </c>
      <c r="J60" s="151">
        <f t="shared" ref="J60:J74" si="22">IF(INDEX(Q3_Adult,4+$H60,16)="No data",NA(),INDEX(Q3_Adult,4+$H60,16))</f>
        <v>0</v>
      </c>
      <c r="K60" s="151">
        <f t="shared" ref="K60:K74" si="23">IF(INDEX(Q3_Adult,4+$H60,17)="No data",NA(),INDEX(Q3_Adult,4+$H60,17))</f>
        <v>0</v>
      </c>
      <c r="L60" s="151">
        <f t="shared" ref="L60:L74" si="24">IF(INDEX(Q3_Adult,4+$H60,18)="No data",NA(),INDEX(Q3_Adult,4+$H60,18))</f>
        <v>0</v>
      </c>
      <c r="M60" s="141">
        <f t="shared" ref="M60:M74" si="25">SUM(J60:L60)</f>
        <v>0</v>
      </c>
    </row>
    <row r="61" spans="1:13" x14ac:dyDescent="0.3">
      <c r="A61" s="144">
        <v>10</v>
      </c>
      <c r="B61" s="150" t="s">
        <v>59</v>
      </c>
      <c r="C61" s="146">
        <f t="shared" si="14"/>
        <v>0</v>
      </c>
      <c r="D61" s="146">
        <f t="shared" si="15"/>
        <v>0</v>
      </c>
      <c r="E61" s="146">
        <f t="shared" si="16"/>
        <v>0</v>
      </c>
      <c r="F61" s="141">
        <f t="shared" si="17"/>
        <v>0</v>
      </c>
      <c r="G61" s="158"/>
      <c r="H61" s="144">
        <v>4</v>
      </c>
      <c r="I61" s="150" t="s">
        <v>160</v>
      </c>
      <c r="J61" s="151">
        <f t="shared" si="22"/>
        <v>0</v>
      </c>
      <c r="K61" s="151">
        <f t="shared" si="23"/>
        <v>0</v>
      </c>
      <c r="L61" s="151">
        <f t="shared" si="24"/>
        <v>0</v>
      </c>
      <c r="M61" s="141">
        <f t="shared" si="25"/>
        <v>0</v>
      </c>
    </row>
    <row r="62" spans="1:13" x14ac:dyDescent="0.3">
      <c r="A62" s="144">
        <v>11</v>
      </c>
      <c r="B62" s="150" t="s">
        <v>208</v>
      </c>
      <c r="C62" s="146">
        <f t="shared" si="14"/>
        <v>0</v>
      </c>
      <c r="D62" s="146">
        <f t="shared" si="15"/>
        <v>0</v>
      </c>
      <c r="E62" s="146">
        <f t="shared" si="16"/>
        <v>0</v>
      </c>
      <c r="F62" s="141">
        <f t="shared" si="17"/>
        <v>0</v>
      </c>
      <c r="G62" s="158"/>
      <c r="H62" s="144">
        <v>5</v>
      </c>
      <c r="I62" s="150" t="s">
        <v>161</v>
      </c>
      <c r="J62" s="151">
        <f t="shared" si="22"/>
        <v>0</v>
      </c>
      <c r="K62" s="151">
        <f t="shared" si="23"/>
        <v>0</v>
      </c>
      <c r="L62" s="151">
        <f t="shared" si="24"/>
        <v>0</v>
      </c>
      <c r="M62" s="141">
        <f t="shared" si="25"/>
        <v>0</v>
      </c>
    </row>
    <row r="63" spans="1:13" x14ac:dyDescent="0.3">
      <c r="A63" s="144">
        <v>18</v>
      </c>
      <c r="B63" s="150" t="s">
        <v>62</v>
      </c>
      <c r="C63" s="146">
        <f t="shared" si="14"/>
        <v>1</v>
      </c>
      <c r="D63" s="146">
        <f t="shared" si="15"/>
        <v>0</v>
      </c>
      <c r="E63" s="146">
        <f t="shared" si="16"/>
        <v>0</v>
      </c>
      <c r="F63" s="141">
        <f t="shared" si="17"/>
        <v>1</v>
      </c>
      <c r="G63" s="158"/>
      <c r="H63" s="144">
        <v>7</v>
      </c>
      <c r="I63" s="150" t="s">
        <v>166</v>
      </c>
      <c r="J63" s="151">
        <f t="shared" si="22"/>
        <v>0</v>
      </c>
      <c r="K63" s="151">
        <f t="shared" si="23"/>
        <v>0</v>
      </c>
      <c r="L63" s="151">
        <f t="shared" si="24"/>
        <v>0</v>
      </c>
      <c r="M63" s="141">
        <f t="shared" si="25"/>
        <v>0</v>
      </c>
    </row>
    <row r="64" spans="1:13" x14ac:dyDescent="0.3">
      <c r="A64" s="144">
        <v>5</v>
      </c>
      <c r="B64" s="150" t="s">
        <v>161</v>
      </c>
      <c r="C64" s="146">
        <f t="shared" si="14"/>
        <v>0</v>
      </c>
      <c r="D64" s="146">
        <f t="shared" si="15"/>
        <v>0</v>
      </c>
      <c r="E64" s="146">
        <f t="shared" si="16"/>
        <v>2</v>
      </c>
      <c r="F64" s="141">
        <f t="shared" si="17"/>
        <v>2</v>
      </c>
      <c r="G64" s="158"/>
      <c r="H64" s="144">
        <v>8</v>
      </c>
      <c r="I64" s="150" t="s">
        <v>162</v>
      </c>
      <c r="J64" s="151">
        <f t="shared" si="22"/>
        <v>0</v>
      </c>
      <c r="K64" s="151">
        <f t="shared" si="23"/>
        <v>0</v>
      </c>
      <c r="L64" s="151">
        <f t="shared" si="24"/>
        <v>0</v>
      </c>
      <c r="M64" s="141">
        <f t="shared" si="25"/>
        <v>0</v>
      </c>
    </row>
    <row r="65" spans="1:15" x14ac:dyDescent="0.3">
      <c r="A65" s="144">
        <v>15</v>
      </c>
      <c r="B65" s="150" t="s">
        <v>52</v>
      </c>
      <c r="C65" s="146">
        <f t="shared" si="14"/>
        <v>3</v>
      </c>
      <c r="D65" s="146">
        <f t="shared" si="15"/>
        <v>0</v>
      </c>
      <c r="E65" s="146">
        <f t="shared" si="16"/>
        <v>0</v>
      </c>
      <c r="F65" s="141">
        <f t="shared" si="17"/>
        <v>3</v>
      </c>
      <c r="G65" s="158"/>
      <c r="H65" s="144">
        <v>10</v>
      </c>
      <c r="I65" s="150" t="s">
        <v>196</v>
      </c>
      <c r="J65" s="151" t="str">
        <f t="shared" si="22"/>
        <v>N/A</v>
      </c>
      <c r="K65" s="151" t="str">
        <f t="shared" si="23"/>
        <v>N/A</v>
      </c>
      <c r="L65" s="151" t="str">
        <f t="shared" si="24"/>
        <v>N/A</v>
      </c>
      <c r="M65" s="141">
        <f t="shared" si="25"/>
        <v>0</v>
      </c>
    </row>
    <row r="66" spans="1:15" x14ac:dyDescent="0.3">
      <c r="A66" s="144">
        <v>4</v>
      </c>
      <c r="B66" s="150" t="s">
        <v>160</v>
      </c>
      <c r="C66" s="146">
        <f t="shared" si="14"/>
        <v>3</v>
      </c>
      <c r="D66" s="146">
        <f t="shared" si="15"/>
        <v>1</v>
      </c>
      <c r="E66" s="146">
        <f t="shared" si="16"/>
        <v>4</v>
      </c>
      <c r="F66" s="141">
        <f t="shared" si="17"/>
        <v>8</v>
      </c>
      <c r="G66" s="158"/>
      <c r="H66" s="144">
        <v>13</v>
      </c>
      <c r="I66" s="150" t="s">
        <v>61</v>
      </c>
      <c r="J66" s="151">
        <f t="shared" si="22"/>
        <v>0</v>
      </c>
      <c r="K66" s="151">
        <f t="shared" si="23"/>
        <v>0</v>
      </c>
      <c r="L66" s="151">
        <f t="shared" si="24"/>
        <v>0</v>
      </c>
      <c r="M66" s="141">
        <f t="shared" si="25"/>
        <v>0</v>
      </c>
    </row>
    <row r="67" spans="1:15" x14ac:dyDescent="0.3">
      <c r="A67" s="144">
        <v>13</v>
      </c>
      <c r="B67" s="150" t="s">
        <v>56</v>
      </c>
      <c r="C67" s="146">
        <f t="shared" si="14"/>
        <v>6</v>
      </c>
      <c r="D67" s="146">
        <f t="shared" si="15"/>
        <v>4</v>
      </c>
      <c r="E67" s="146">
        <f t="shared" si="16"/>
        <v>5</v>
      </c>
      <c r="F67" s="141">
        <f t="shared" si="17"/>
        <v>15</v>
      </c>
      <c r="G67" s="158"/>
      <c r="H67" s="144">
        <v>15</v>
      </c>
      <c r="I67" s="150" t="s">
        <v>57</v>
      </c>
      <c r="J67" s="151">
        <f t="shared" si="22"/>
        <v>0</v>
      </c>
      <c r="K67" s="151">
        <f t="shared" si="23"/>
        <v>0</v>
      </c>
      <c r="L67" s="151">
        <f t="shared" si="24"/>
        <v>0</v>
      </c>
      <c r="M67" s="141">
        <f t="shared" si="25"/>
        <v>0</v>
      </c>
    </row>
    <row r="68" spans="1:15" x14ac:dyDescent="0.3">
      <c r="A68" s="144">
        <v>7</v>
      </c>
      <c r="B68" s="150" t="s">
        <v>166</v>
      </c>
      <c r="C68" s="146">
        <f t="shared" si="14"/>
        <v>12</v>
      </c>
      <c r="D68" s="146">
        <f t="shared" si="15"/>
        <v>4</v>
      </c>
      <c r="E68" s="146">
        <f t="shared" si="16"/>
        <v>0</v>
      </c>
      <c r="F68" s="141">
        <f t="shared" si="17"/>
        <v>16</v>
      </c>
      <c r="G68" s="158"/>
      <c r="H68" s="144">
        <v>16</v>
      </c>
      <c r="I68" s="150" t="s">
        <v>54</v>
      </c>
      <c r="J68" s="151">
        <f t="shared" si="22"/>
        <v>7</v>
      </c>
      <c r="K68" s="151">
        <f t="shared" si="23"/>
        <v>12</v>
      </c>
      <c r="L68" s="151">
        <f t="shared" si="24"/>
        <v>1</v>
      </c>
      <c r="M68" s="141">
        <f t="shared" si="25"/>
        <v>20</v>
      </c>
    </row>
    <row r="69" spans="1:15" x14ac:dyDescent="0.3">
      <c r="A69" s="144">
        <v>16</v>
      </c>
      <c r="B69" s="150" t="s">
        <v>57</v>
      </c>
      <c r="C69" s="146">
        <f t="shared" si="14"/>
        <v>4</v>
      </c>
      <c r="D69" s="146">
        <f t="shared" si="15"/>
        <v>8</v>
      </c>
      <c r="E69" s="146">
        <f t="shared" si="16"/>
        <v>21</v>
      </c>
      <c r="F69" s="141">
        <f t="shared" si="17"/>
        <v>33</v>
      </c>
      <c r="G69" s="158"/>
      <c r="H69" s="144">
        <v>9</v>
      </c>
      <c r="I69" s="150" t="s">
        <v>58</v>
      </c>
      <c r="J69" s="151">
        <f t="shared" si="22"/>
        <v>18</v>
      </c>
      <c r="K69" s="151">
        <f t="shared" si="23"/>
        <v>38</v>
      </c>
      <c r="L69" s="151">
        <f t="shared" si="24"/>
        <v>8</v>
      </c>
      <c r="M69" s="141">
        <f t="shared" si="25"/>
        <v>64</v>
      </c>
    </row>
    <row r="70" spans="1:15" x14ac:dyDescent="0.3">
      <c r="A70" s="144">
        <v>14</v>
      </c>
      <c r="B70" s="150" t="s">
        <v>61</v>
      </c>
      <c r="C70" s="146">
        <f t="shared" si="14"/>
        <v>26</v>
      </c>
      <c r="D70" s="146">
        <f t="shared" si="15"/>
        <v>14</v>
      </c>
      <c r="E70" s="146">
        <f t="shared" si="16"/>
        <v>2</v>
      </c>
      <c r="F70" s="141">
        <f t="shared" si="17"/>
        <v>42</v>
      </c>
      <c r="G70" s="158"/>
      <c r="H70" s="144">
        <v>12</v>
      </c>
      <c r="I70" s="150" t="s">
        <v>56</v>
      </c>
      <c r="J70" s="151">
        <f t="shared" si="22"/>
        <v>7</v>
      </c>
      <c r="K70" s="151">
        <f t="shared" si="23"/>
        <v>21</v>
      </c>
      <c r="L70" s="151">
        <f t="shared" si="24"/>
        <v>45</v>
      </c>
      <c r="M70" s="141">
        <f t="shared" si="25"/>
        <v>73</v>
      </c>
    </row>
    <row r="71" spans="1:15" x14ac:dyDescent="0.3">
      <c r="A71" s="144">
        <v>8</v>
      </c>
      <c r="B71" s="150" t="s">
        <v>162</v>
      </c>
      <c r="C71" s="146">
        <f t="shared" si="14"/>
        <v>28</v>
      </c>
      <c r="D71" s="146">
        <f t="shared" si="15"/>
        <v>19</v>
      </c>
      <c r="E71" s="146">
        <f t="shared" si="16"/>
        <v>0</v>
      </c>
      <c r="F71" s="141">
        <f t="shared" si="17"/>
        <v>47</v>
      </c>
      <c r="G71" s="158"/>
      <c r="H71" s="144">
        <v>6</v>
      </c>
      <c r="I71" s="150" t="s">
        <v>165</v>
      </c>
      <c r="J71" s="151">
        <f t="shared" si="22"/>
        <v>26</v>
      </c>
      <c r="K71" s="151">
        <f t="shared" si="23"/>
        <v>22</v>
      </c>
      <c r="L71" s="151">
        <f t="shared" si="24"/>
        <v>28</v>
      </c>
      <c r="M71" s="141">
        <f t="shared" si="25"/>
        <v>76</v>
      </c>
    </row>
    <row r="72" spans="1:15" x14ac:dyDescent="0.3">
      <c r="A72" s="144">
        <v>17</v>
      </c>
      <c r="B72" s="150" t="s">
        <v>54</v>
      </c>
      <c r="C72" s="146">
        <f t="shared" si="14"/>
        <v>21</v>
      </c>
      <c r="D72" s="146">
        <f t="shared" si="15"/>
        <v>34</v>
      </c>
      <c r="E72" s="146">
        <f t="shared" si="16"/>
        <v>15</v>
      </c>
      <c r="F72" s="141">
        <f t="shared" si="17"/>
        <v>70</v>
      </c>
      <c r="G72" s="158"/>
      <c r="H72" s="144">
        <v>17</v>
      </c>
      <c r="I72" s="150" t="s">
        <v>62</v>
      </c>
      <c r="J72" s="151">
        <f t="shared" si="22"/>
        <v>40</v>
      </c>
      <c r="K72" s="151">
        <f t="shared" si="23"/>
        <v>90</v>
      </c>
      <c r="L72" s="151">
        <f t="shared" si="24"/>
        <v>5</v>
      </c>
      <c r="M72" s="141">
        <f t="shared" si="25"/>
        <v>135</v>
      </c>
    </row>
    <row r="73" spans="1:15" x14ac:dyDescent="0.3">
      <c r="A73" s="144">
        <v>12</v>
      </c>
      <c r="B73" s="150" t="s">
        <v>60</v>
      </c>
      <c r="C73" s="146">
        <f t="shared" si="14"/>
        <v>34</v>
      </c>
      <c r="D73" s="146">
        <f t="shared" si="15"/>
        <v>53</v>
      </c>
      <c r="E73" s="146">
        <f t="shared" si="16"/>
        <v>10</v>
      </c>
      <c r="F73" s="141">
        <f t="shared" si="17"/>
        <v>97</v>
      </c>
      <c r="G73" s="158"/>
      <c r="H73" s="144">
        <v>3</v>
      </c>
      <c r="I73" s="150" t="s">
        <v>159</v>
      </c>
      <c r="J73" s="151">
        <f t="shared" si="22"/>
        <v>14</v>
      </c>
      <c r="K73" s="151">
        <f t="shared" si="23"/>
        <v>41</v>
      </c>
      <c r="L73" s="151">
        <f t="shared" si="24"/>
        <v>118</v>
      </c>
      <c r="M73" s="141">
        <f t="shared" si="25"/>
        <v>173</v>
      </c>
    </row>
    <row r="74" spans="1:15" x14ac:dyDescent="0.3">
      <c r="A74" s="144">
        <v>1</v>
      </c>
      <c r="B74" s="150" t="s">
        <v>157</v>
      </c>
      <c r="C74" s="146">
        <f t="shared" si="14"/>
        <v>39</v>
      </c>
      <c r="D74" s="146">
        <f t="shared" si="15"/>
        <v>89</v>
      </c>
      <c r="E74" s="146">
        <f t="shared" si="16"/>
        <v>98</v>
      </c>
      <c r="F74" s="141">
        <f t="shared" si="17"/>
        <v>226</v>
      </c>
      <c r="G74" s="158"/>
      <c r="H74" s="145">
        <v>1</v>
      </c>
      <c r="I74" s="153" t="s">
        <v>157</v>
      </c>
      <c r="J74" s="151">
        <f t="shared" si="22"/>
        <v>17</v>
      </c>
      <c r="K74" s="151">
        <f t="shared" si="23"/>
        <v>46</v>
      </c>
      <c r="L74" s="151">
        <f t="shared" si="24"/>
        <v>131</v>
      </c>
      <c r="M74" s="141">
        <f t="shared" si="25"/>
        <v>194</v>
      </c>
    </row>
    <row r="75" spans="1:15" x14ac:dyDescent="0.3">
      <c r="A75" s="145">
        <v>3</v>
      </c>
      <c r="B75" s="153" t="s">
        <v>159</v>
      </c>
      <c r="C75" s="147">
        <f t="shared" si="14"/>
        <v>76</v>
      </c>
      <c r="D75" s="147">
        <f t="shared" si="15"/>
        <v>121</v>
      </c>
      <c r="E75" s="147">
        <f t="shared" si="16"/>
        <v>83</v>
      </c>
      <c r="F75" s="142">
        <f t="shared" si="17"/>
        <v>280</v>
      </c>
      <c r="G75" s="158"/>
    </row>
    <row r="77" spans="1:15" s="103" customFormat="1" ht="18" x14ac:dyDescent="0.35">
      <c r="B77" s="103" t="s">
        <v>108</v>
      </c>
    </row>
    <row r="78" spans="1:15" s="104" customFormat="1" ht="43.5" customHeight="1" x14ac:dyDescent="0.4">
      <c r="B78" s="105" t="s">
        <v>186</v>
      </c>
    </row>
    <row r="79" spans="1:15" x14ac:dyDescent="0.3">
      <c r="A79" s="42"/>
      <c r="B79" s="135" t="s">
        <v>74</v>
      </c>
      <c r="C79" s="42"/>
      <c r="D79" s="42"/>
      <c r="E79" s="135" t="s">
        <v>146</v>
      </c>
      <c r="F79" s="135"/>
      <c r="I79" s="34" t="s">
        <v>143</v>
      </c>
      <c r="M79" s="34" t="s">
        <v>143</v>
      </c>
    </row>
    <row r="80" spans="1:15" x14ac:dyDescent="0.3">
      <c r="A80" s="143"/>
      <c r="B80" s="139"/>
      <c r="C80" s="140" t="str">
        <f>Data!U29</f>
        <v>Local consultant</v>
      </c>
      <c r="D80" s="157"/>
      <c r="E80" s="143"/>
      <c r="F80" s="139"/>
      <c r="G80" s="140" t="str">
        <f>Data!V29</f>
        <v>Visiting consultant</v>
      </c>
      <c r="H80" s="157"/>
      <c r="I80" s="143"/>
      <c r="J80" s="139"/>
      <c r="K80" s="140" t="str">
        <f>Data!U5</f>
        <v>Local consultant</v>
      </c>
      <c r="L80" s="157"/>
      <c r="M80" s="143"/>
      <c r="N80" s="139"/>
      <c r="O80" s="140" t="str">
        <f>Data!V5</f>
        <v>Visiting consultant</v>
      </c>
    </row>
    <row r="81" spans="1:15" x14ac:dyDescent="0.3">
      <c r="A81" s="144">
        <v>6</v>
      </c>
      <c r="B81" s="150" t="s">
        <v>165</v>
      </c>
      <c r="C81" s="159" t="e">
        <f t="shared" ref="C81:C98" si="26">IF(INDEX(Q3_Paeds,4+$A81,21)="No data",NA(),INDEX(Q3_Paeds,4+$A81,21))</f>
        <v>#N/A</v>
      </c>
      <c r="D81" s="161"/>
      <c r="E81" s="144">
        <v>6</v>
      </c>
      <c r="F81" s="150" t="s">
        <v>165</v>
      </c>
      <c r="G81" s="159" t="e">
        <f t="shared" ref="G81:G98" si="27">IF(INDEX(Q3_Paeds,4+$E81,22)="No data",NA(),INDEX(Q3_Paeds,4+$E81,22))</f>
        <v>#N/A</v>
      </c>
      <c r="H81" s="161"/>
      <c r="I81" s="144">
        <v>11</v>
      </c>
      <c r="J81" s="150" t="s">
        <v>60</v>
      </c>
      <c r="K81" s="159" t="e">
        <f t="shared" ref="K81:K82" si="28">IF(INDEX(Q3_Adult,4+$I81,21)="No data",NA(),INDEX(Q3_Adult,4+$I81,21))</f>
        <v>#N/A</v>
      </c>
      <c r="L81" s="161"/>
      <c r="M81" s="144">
        <v>11</v>
      </c>
      <c r="N81" s="150" t="s">
        <v>60</v>
      </c>
      <c r="O81" s="159" t="e">
        <f t="shared" ref="O81:O82" si="29">IF(INDEX(Q3_Adult,4+$M81,22)="No data",NA(),INDEX(Q3_Adult,4+$M81,22))</f>
        <v>#N/A</v>
      </c>
    </row>
    <row r="82" spans="1:15" x14ac:dyDescent="0.3">
      <c r="A82" s="144">
        <v>9</v>
      </c>
      <c r="B82" s="150" t="s">
        <v>58</v>
      </c>
      <c r="C82" s="159" t="e">
        <f t="shared" si="26"/>
        <v>#N/A</v>
      </c>
      <c r="D82" s="161"/>
      <c r="E82" s="144">
        <v>9</v>
      </c>
      <c r="F82" s="150" t="s">
        <v>58</v>
      </c>
      <c r="G82" s="159" t="e">
        <f t="shared" si="27"/>
        <v>#N/A</v>
      </c>
      <c r="H82" s="161"/>
      <c r="I82" s="144">
        <v>14</v>
      </c>
      <c r="J82" s="150" t="s">
        <v>52</v>
      </c>
      <c r="K82" s="159" t="e">
        <f t="shared" si="28"/>
        <v>#N/A</v>
      </c>
      <c r="L82" s="161"/>
      <c r="M82" s="144">
        <v>14</v>
      </c>
      <c r="N82" s="150" t="s">
        <v>52</v>
      </c>
      <c r="O82" s="159" t="e">
        <f t="shared" si="29"/>
        <v>#N/A</v>
      </c>
    </row>
    <row r="83" spans="1:15" x14ac:dyDescent="0.3">
      <c r="A83" s="144">
        <v>7</v>
      </c>
      <c r="B83" s="150" t="s">
        <v>166</v>
      </c>
      <c r="C83" s="159">
        <f t="shared" si="26"/>
        <v>0</v>
      </c>
      <c r="D83" s="161"/>
      <c r="E83" s="144">
        <v>2</v>
      </c>
      <c r="F83" s="150" t="s">
        <v>158</v>
      </c>
      <c r="G83" s="159">
        <f t="shared" si="27"/>
        <v>0</v>
      </c>
      <c r="H83" s="161"/>
      <c r="I83" s="144">
        <v>17</v>
      </c>
      <c r="J83" s="150" t="s">
        <v>62</v>
      </c>
      <c r="K83" s="159">
        <f t="shared" ref="K83:K97" si="30">IF(INDEX(Q3_Adult,4+$I83,21)="No data",NA(),INDEX(Q3_Adult,4+$I83,21))</f>
        <v>0</v>
      </c>
      <c r="L83" s="161"/>
      <c r="M83" s="144">
        <v>17</v>
      </c>
      <c r="N83" s="150" t="s">
        <v>62</v>
      </c>
      <c r="O83" s="159">
        <f t="shared" ref="O83:O97" si="31">IF(INDEX(Q3_Adult,4+$M83,22)="No data",NA(),INDEX(Q3_Adult,4+$M83,22))</f>
        <v>0</v>
      </c>
    </row>
    <row r="84" spans="1:15" x14ac:dyDescent="0.3">
      <c r="A84" s="144">
        <v>14</v>
      </c>
      <c r="B84" s="150" t="s">
        <v>61</v>
      </c>
      <c r="C84" s="159">
        <f t="shared" si="26"/>
        <v>0</v>
      </c>
      <c r="D84" s="161"/>
      <c r="E84" s="144">
        <v>7</v>
      </c>
      <c r="F84" s="150" t="s">
        <v>166</v>
      </c>
      <c r="G84" s="159">
        <f t="shared" si="27"/>
        <v>0</v>
      </c>
      <c r="H84" s="161"/>
      <c r="I84" s="144">
        <v>1</v>
      </c>
      <c r="J84" s="150" t="s">
        <v>157</v>
      </c>
      <c r="K84" s="159">
        <f t="shared" si="30"/>
        <v>0</v>
      </c>
      <c r="L84" s="161"/>
      <c r="M84" s="144">
        <v>1</v>
      </c>
      <c r="N84" s="150" t="s">
        <v>157</v>
      </c>
      <c r="O84" s="159">
        <f t="shared" si="31"/>
        <v>0</v>
      </c>
    </row>
    <row r="85" spans="1:15" x14ac:dyDescent="0.3">
      <c r="A85" s="144">
        <v>17</v>
      </c>
      <c r="B85" s="150" t="s">
        <v>54</v>
      </c>
      <c r="C85" s="159">
        <f t="shared" si="26"/>
        <v>0</v>
      </c>
      <c r="D85" s="161"/>
      <c r="E85" s="144">
        <v>8</v>
      </c>
      <c r="F85" s="150" t="s">
        <v>162</v>
      </c>
      <c r="G85" s="159">
        <f t="shared" si="27"/>
        <v>0</v>
      </c>
      <c r="H85" s="161"/>
      <c r="I85" s="144">
        <v>3</v>
      </c>
      <c r="J85" s="150" t="s">
        <v>159</v>
      </c>
      <c r="K85" s="159">
        <f t="shared" si="30"/>
        <v>0</v>
      </c>
      <c r="L85" s="161"/>
      <c r="M85" s="144">
        <v>2</v>
      </c>
      <c r="N85" s="150" t="s">
        <v>158</v>
      </c>
      <c r="O85" s="159">
        <f t="shared" si="31"/>
        <v>0</v>
      </c>
    </row>
    <row r="86" spans="1:15" x14ac:dyDescent="0.3">
      <c r="A86" s="144">
        <v>8</v>
      </c>
      <c r="B86" s="150" t="s">
        <v>162</v>
      </c>
      <c r="C86" s="159">
        <f t="shared" si="26"/>
        <v>0.04</v>
      </c>
      <c r="D86" s="161"/>
      <c r="E86" s="144">
        <v>11</v>
      </c>
      <c r="F86" s="150" t="s">
        <v>208</v>
      </c>
      <c r="G86" s="159">
        <f t="shared" si="27"/>
        <v>0</v>
      </c>
      <c r="H86" s="161"/>
      <c r="I86" s="144">
        <v>5</v>
      </c>
      <c r="J86" s="150" t="s">
        <v>161</v>
      </c>
      <c r="K86" s="159">
        <f t="shared" si="30"/>
        <v>0</v>
      </c>
      <c r="L86" s="161"/>
      <c r="M86" s="144">
        <v>3</v>
      </c>
      <c r="N86" s="150" t="s">
        <v>159</v>
      </c>
      <c r="O86" s="159">
        <f t="shared" si="31"/>
        <v>0</v>
      </c>
    </row>
    <row r="87" spans="1:15" x14ac:dyDescent="0.3">
      <c r="A87" s="144">
        <v>12</v>
      </c>
      <c r="B87" s="150" t="s">
        <v>60</v>
      </c>
      <c r="C87" s="159">
        <f t="shared" si="26"/>
        <v>0.05</v>
      </c>
      <c r="D87" s="161"/>
      <c r="E87" s="144">
        <v>12</v>
      </c>
      <c r="F87" s="150" t="s">
        <v>60</v>
      </c>
      <c r="G87" s="159">
        <f t="shared" si="27"/>
        <v>0</v>
      </c>
      <c r="H87" s="161"/>
      <c r="I87" s="144">
        <v>6</v>
      </c>
      <c r="J87" s="150" t="s">
        <v>165</v>
      </c>
      <c r="K87" s="159">
        <f t="shared" si="30"/>
        <v>0</v>
      </c>
      <c r="L87" s="161"/>
      <c r="M87" s="144">
        <v>4</v>
      </c>
      <c r="N87" s="150" t="s">
        <v>160</v>
      </c>
      <c r="O87" s="159">
        <f t="shared" si="31"/>
        <v>0</v>
      </c>
    </row>
    <row r="88" spans="1:15" x14ac:dyDescent="0.3">
      <c r="A88" s="144">
        <v>1</v>
      </c>
      <c r="B88" s="150" t="s">
        <v>157</v>
      </c>
      <c r="C88" s="159">
        <f t="shared" si="26"/>
        <v>7.0000000000000007E-2</v>
      </c>
      <c r="D88" s="161"/>
      <c r="E88" s="144">
        <v>14</v>
      </c>
      <c r="F88" s="150" t="s">
        <v>61</v>
      </c>
      <c r="G88" s="159">
        <f t="shared" si="27"/>
        <v>0</v>
      </c>
      <c r="H88" s="161"/>
      <c r="I88" s="144">
        <v>7</v>
      </c>
      <c r="J88" s="150" t="s">
        <v>166</v>
      </c>
      <c r="K88" s="159">
        <f t="shared" si="30"/>
        <v>0</v>
      </c>
      <c r="L88" s="161"/>
      <c r="M88" s="144">
        <v>5</v>
      </c>
      <c r="N88" s="150" t="s">
        <v>161</v>
      </c>
      <c r="O88" s="159">
        <f t="shared" si="31"/>
        <v>0</v>
      </c>
    </row>
    <row r="89" spans="1:15" x14ac:dyDescent="0.3">
      <c r="A89" s="144">
        <v>11</v>
      </c>
      <c r="B89" s="150" t="s">
        <v>211</v>
      </c>
      <c r="C89" s="159">
        <f t="shared" si="26"/>
        <v>7.0000000000000007E-2</v>
      </c>
      <c r="D89" s="161"/>
      <c r="E89" s="144">
        <v>16</v>
      </c>
      <c r="F89" s="150" t="s">
        <v>57</v>
      </c>
      <c r="G89" s="159">
        <f t="shared" si="27"/>
        <v>0</v>
      </c>
      <c r="H89" s="161"/>
      <c r="I89" s="144">
        <v>9</v>
      </c>
      <c r="J89" s="150" t="s">
        <v>58</v>
      </c>
      <c r="K89" s="159">
        <f t="shared" si="30"/>
        <v>0</v>
      </c>
      <c r="L89" s="161"/>
      <c r="M89" s="144">
        <v>6</v>
      </c>
      <c r="N89" s="150" t="s">
        <v>165</v>
      </c>
      <c r="O89" s="159">
        <f t="shared" si="31"/>
        <v>0</v>
      </c>
    </row>
    <row r="90" spans="1:15" x14ac:dyDescent="0.3">
      <c r="A90" s="144">
        <v>18</v>
      </c>
      <c r="B90" s="150" t="s">
        <v>62</v>
      </c>
      <c r="C90" s="159">
        <f t="shared" si="26"/>
        <v>7.0000000000000007E-2</v>
      </c>
      <c r="D90" s="161"/>
      <c r="E90" s="144">
        <v>17</v>
      </c>
      <c r="F90" s="150" t="s">
        <v>54</v>
      </c>
      <c r="G90" s="159">
        <f t="shared" si="27"/>
        <v>0</v>
      </c>
      <c r="H90" s="161"/>
      <c r="I90" s="144">
        <v>12</v>
      </c>
      <c r="J90" s="150" t="s">
        <v>56</v>
      </c>
      <c r="K90" s="159">
        <f t="shared" si="30"/>
        <v>0</v>
      </c>
      <c r="L90" s="161"/>
      <c r="M90" s="144">
        <v>7</v>
      </c>
      <c r="N90" s="150" t="s">
        <v>166</v>
      </c>
      <c r="O90" s="159">
        <f t="shared" si="31"/>
        <v>0</v>
      </c>
    </row>
    <row r="91" spans="1:15" x14ac:dyDescent="0.3">
      <c r="A91" s="144">
        <v>2</v>
      </c>
      <c r="B91" s="150" t="s">
        <v>158</v>
      </c>
      <c r="C91" s="159">
        <f t="shared" si="26"/>
        <v>0.08</v>
      </c>
      <c r="D91" s="161"/>
      <c r="E91" s="144">
        <v>1</v>
      </c>
      <c r="F91" s="150" t="s">
        <v>157</v>
      </c>
      <c r="G91" s="159">
        <f t="shared" si="27"/>
        <v>0.04</v>
      </c>
      <c r="H91" s="161"/>
      <c r="I91" s="144">
        <v>13</v>
      </c>
      <c r="J91" s="150" t="s">
        <v>61</v>
      </c>
      <c r="K91" s="159">
        <f t="shared" si="30"/>
        <v>0.04</v>
      </c>
      <c r="L91" s="161"/>
      <c r="M91" s="144">
        <v>8</v>
      </c>
      <c r="N91" s="150" t="s">
        <v>162</v>
      </c>
      <c r="O91" s="159">
        <f t="shared" si="31"/>
        <v>0</v>
      </c>
    </row>
    <row r="92" spans="1:15" x14ac:dyDescent="0.3">
      <c r="A92" s="144">
        <v>10</v>
      </c>
      <c r="B92" s="150" t="s">
        <v>59</v>
      </c>
      <c r="C92" s="159">
        <f t="shared" si="26"/>
        <v>0.08</v>
      </c>
      <c r="D92" s="161"/>
      <c r="E92" s="144">
        <v>3</v>
      </c>
      <c r="F92" s="150" t="s">
        <v>159</v>
      </c>
      <c r="G92" s="159">
        <f t="shared" si="27"/>
        <v>0.05</v>
      </c>
      <c r="H92" s="161"/>
      <c r="I92" s="144">
        <v>2</v>
      </c>
      <c r="J92" s="150" t="s">
        <v>158</v>
      </c>
      <c r="K92" s="159">
        <f t="shared" si="30"/>
        <v>0.05</v>
      </c>
      <c r="L92" s="161"/>
      <c r="M92" s="144">
        <v>9</v>
      </c>
      <c r="N92" s="150" t="s">
        <v>58</v>
      </c>
      <c r="O92" s="159">
        <f t="shared" si="31"/>
        <v>0</v>
      </c>
    </row>
    <row r="93" spans="1:15" x14ac:dyDescent="0.3">
      <c r="A93" s="144">
        <v>16</v>
      </c>
      <c r="B93" s="150" t="s">
        <v>57</v>
      </c>
      <c r="C93" s="159">
        <f t="shared" si="26"/>
        <v>0.11</v>
      </c>
      <c r="D93" s="161"/>
      <c r="E93" s="144">
        <v>13</v>
      </c>
      <c r="F93" s="150" t="s">
        <v>56</v>
      </c>
      <c r="G93" s="159">
        <f t="shared" si="27"/>
        <v>0.05</v>
      </c>
      <c r="H93" s="161"/>
      <c r="I93" s="144">
        <v>15</v>
      </c>
      <c r="J93" s="150" t="s">
        <v>57</v>
      </c>
      <c r="K93" s="159">
        <f t="shared" si="30"/>
        <v>0.06</v>
      </c>
      <c r="L93" s="161"/>
      <c r="M93" s="144">
        <v>12</v>
      </c>
      <c r="N93" s="150" t="s">
        <v>56</v>
      </c>
      <c r="O93" s="159">
        <f t="shared" si="31"/>
        <v>0</v>
      </c>
    </row>
    <row r="94" spans="1:15" x14ac:dyDescent="0.3">
      <c r="A94" s="144">
        <v>15</v>
      </c>
      <c r="B94" s="150" t="s">
        <v>52</v>
      </c>
      <c r="C94" s="159">
        <f t="shared" si="26"/>
        <v>0.14000000000000001</v>
      </c>
      <c r="D94" s="161"/>
      <c r="E94" s="144">
        <v>10</v>
      </c>
      <c r="F94" s="150" t="s">
        <v>59</v>
      </c>
      <c r="G94" s="159">
        <f t="shared" si="27"/>
        <v>0.08</v>
      </c>
      <c r="H94" s="161"/>
      <c r="I94" s="144">
        <v>16</v>
      </c>
      <c r="J94" s="150" t="s">
        <v>54</v>
      </c>
      <c r="K94" s="159">
        <f t="shared" si="30"/>
        <v>0.06</v>
      </c>
      <c r="L94" s="161"/>
      <c r="M94" s="144">
        <v>13</v>
      </c>
      <c r="N94" s="150" t="s">
        <v>61</v>
      </c>
      <c r="O94" s="159">
        <f t="shared" si="31"/>
        <v>0</v>
      </c>
    </row>
    <row r="95" spans="1:15" x14ac:dyDescent="0.3">
      <c r="A95" s="144">
        <v>13</v>
      </c>
      <c r="B95" s="150" t="s">
        <v>56</v>
      </c>
      <c r="C95" s="159">
        <f t="shared" si="26"/>
        <v>0.16</v>
      </c>
      <c r="D95" s="161"/>
      <c r="E95" s="144">
        <v>18</v>
      </c>
      <c r="F95" s="150" t="s">
        <v>62</v>
      </c>
      <c r="G95" s="159">
        <f t="shared" si="27"/>
        <v>0.08</v>
      </c>
      <c r="H95" s="161"/>
      <c r="I95" s="144">
        <v>4</v>
      </c>
      <c r="J95" s="150" t="s">
        <v>160</v>
      </c>
      <c r="K95" s="159">
        <f t="shared" si="30"/>
        <v>0.09</v>
      </c>
      <c r="L95" s="161"/>
      <c r="M95" s="144">
        <v>16</v>
      </c>
      <c r="N95" s="150" t="s">
        <v>54</v>
      </c>
      <c r="O95" s="159">
        <f t="shared" si="31"/>
        <v>0</v>
      </c>
    </row>
    <row r="96" spans="1:15" x14ac:dyDescent="0.3">
      <c r="A96" s="144">
        <v>3</v>
      </c>
      <c r="B96" s="150" t="s">
        <v>159</v>
      </c>
      <c r="C96" s="159">
        <f t="shared" si="26"/>
        <v>0.18</v>
      </c>
      <c r="D96" s="161"/>
      <c r="E96" s="144">
        <v>15</v>
      </c>
      <c r="F96" s="150" t="s">
        <v>52</v>
      </c>
      <c r="G96" s="159">
        <f t="shared" si="27"/>
        <v>0.18</v>
      </c>
      <c r="H96" s="161"/>
      <c r="I96" s="144">
        <v>10</v>
      </c>
      <c r="J96" s="150" t="s">
        <v>196</v>
      </c>
      <c r="K96" s="159">
        <f t="shared" si="30"/>
        <v>0.12</v>
      </c>
      <c r="L96" s="161"/>
      <c r="M96" s="144">
        <v>15</v>
      </c>
      <c r="N96" s="150" t="s">
        <v>57</v>
      </c>
      <c r="O96" s="159">
        <f t="shared" si="31"/>
        <v>0.08</v>
      </c>
    </row>
    <row r="97" spans="1:15" x14ac:dyDescent="0.3">
      <c r="A97" s="144">
        <v>4</v>
      </c>
      <c r="B97" s="150" t="s">
        <v>160</v>
      </c>
      <c r="C97" s="159">
        <f t="shared" si="26"/>
        <v>0.19</v>
      </c>
      <c r="D97" s="161"/>
      <c r="E97" s="144">
        <v>5</v>
      </c>
      <c r="F97" s="150" t="s">
        <v>161</v>
      </c>
      <c r="G97" s="159">
        <f t="shared" si="27"/>
        <v>0.39</v>
      </c>
      <c r="H97" s="161"/>
      <c r="I97" s="145">
        <v>8</v>
      </c>
      <c r="J97" s="153" t="s">
        <v>162</v>
      </c>
      <c r="K97" s="159" t="str">
        <f t="shared" si="30"/>
        <v>na</v>
      </c>
      <c r="L97" s="161"/>
      <c r="M97" s="145">
        <v>10</v>
      </c>
      <c r="N97" s="153" t="s">
        <v>196</v>
      </c>
      <c r="O97" s="159" t="str">
        <f t="shared" si="31"/>
        <v>N/A</v>
      </c>
    </row>
    <row r="98" spans="1:15" x14ac:dyDescent="0.3">
      <c r="A98" s="145">
        <v>5</v>
      </c>
      <c r="B98" s="153" t="s">
        <v>161</v>
      </c>
      <c r="C98" s="160">
        <f t="shared" si="26"/>
        <v>0.19</v>
      </c>
      <c r="D98" s="161"/>
      <c r="E98" s="145">
        <v>4</v>
      </c>
      <c r="F98" s="153" t="s">
        <v>160</v>
      </c>
      <c r="G98" s="160">
        <f t="shared" si="27"/>
        <v>0.42</v>
      </c>
      <c r="H98" s="161"/>
    </row>
    <row r="99" spans="1:15" s="42" customFormat="1" x14ac:dyDescent="0.3">
      <c r="B99" s="76"/>
      <c r="C99" s="106"/>
      <c r="D99" s="106"/>
      <c r="E99" s="76"/>
      <c r="F99" s="106"/>
    </row>
    <row r="100" spans="1:15" ht="18" x14ac:dyDescent="0.3">
      <c r="B100" s="107" t="s">
        <v>174</v>
      </c>
      <c r="F100" s="107" t="s">
        <v>175</v>
      </c>
    </row>
    <row r="101" spans="1:15" x14ac:dyDescent="0.3">
      <c r="A101" s="246" t="s">
        <v>75</v>
      </c>
      <c r="B101" s="432" t="s">
        <v>173</v>
      </c>
      <c r="C101" s="433"/>
      <c r="D101" s="247"/>
      <c r="E101" s="248" t="s">
        <v>75</v>
      </c>
      <c r="F101" s="431" t="s">
        <v>4</v>
      </c>
      <c r="G101" s="431"/>
      <c r="H101" s="431" t="s">
        <v>5</v>
      </c>
      <c r="I101" s="431"/>
      <c r="J101" s="431" t="s">
        <v>6</v>
      </c>
      <c r="K101" s="431"/>
      <c r="L101" s="431" t="s">
        <v>7</v>
      </c>
      <c r="M101" s="431"/>
    </row>
    <row r="102" spans="1:15" ht="15" customHeight="1" x14ac:dyDescent="0.3">
      <c r="A102" s="249" t="s">
        <v>53</v>
      </c>
      <c r="B102" s="250" t="s">
        <v>1</v>
      </c>
      <c r="C102" s="251" t="s">
        <v>76</v>
      </c>
      <c r="D102" s="247"/>
      <c r="E102" s="252" t="s">
        <v>53</v>
      </c>
      <c r="F102" s="253" t="s">
        <v>1</v>
      </c>
      <c r="G102" s="254" t="s">
        <v>76</v>
      </c>
      <c r="H102" s="255" t="s">
        <v>1</v>
      </c>
      <c r="I102" s="256" t="s">
        <v>76</v>
      </c>
      <c r="J102" s="257" t="s">
        <v>1</v>
      </c>
      <c r="K102" s="254" t="s">
        <v>76</v>
      </c>
      <c r="L102" s="258" t="s">
        <v>1</v>
      </c>
      <c r="M102" s="256" t="s">
        <v>76</v>
      </c>
      <c r="N102" s="47"/>
    </row>
    <row r="103" spans="1:15" x14ac:dyDescent="0.3">
      <c r="A103" s="259" t="s">
        <v>172</v>
      </c>
      <c r="B103" s="260">
        <f>_xlfn.AGGREGATE(4,6,$K$81:$K$97)</f>
        <v>0.12</v>
      </c>
      <c r="C103" s="261">
        <f>_xlfn.AGGREGATE(4,6,$O$81:$O$97)</f>
        <v>0.08</v>
      </c>
      <c r="D103" s="247"/>
      <c r="E103" s="248" t="s">
        <v>172</v>
      </c>
      <c r="F103" s="262">
        <v>0.255</v>
      </c>
      <c r="G103" s="263">
        <v>0.19</v>
      </c>
      <c r="H103" s="262">
        <v>0.23</v>
      </c>
      <c r="I103" s="263">
        <v>0.09</v>
      </c>
      <c r="J103" s="262">
        <v>0.12</v>
      </c>
      <c r="K103" s="263">
        <v>0.08</v>
      </c>
      <c r="L103" s="265"/>
      <c r="M103" s="263"/>
      <c r="N103" s="47"/>
    </row>
    <row r="104" spans="1:15" x14ac:dyDescent="0.3">
      <c r="A104" s="259" t="s">
        <v>170</v>
      </c>
      <c r="B104" s="260">
        <f>_xlfn.AGGREGATE(5,6,$K$81:$K$97)</f>
        <v>0</v>
      </c>
      <c r="C104" s="261">
        <f>_xlfn.AGGREGATE(5,6,$O$81:$O$97)</f>
        <v>0</v>
      </c>
      <c r="D104" s="247"/>
      <c r="E104" s="248" t="s">
        <v>170</v>
      </c>
      <c r="F104" s="262">
        <v>0</v>
      </c>
      <c r="G104" s="263">
        <v>0</v>
      </c>
      <c r="H104" s="262">
        <v>0</v>
      </c>
      <c r="I104" s="263">
        <v>0</v>
      </c>
      <c r="J104" s="262">
        <v>0</v>
      </c>
      <c r="K104" s="263">
        <v>0</v>
      </c>
      <c r="L104" s="265"/>
      <c r="M104" s="263"/>
      <c r="N104" s="47"/>
    </row>
    <row r="105" spans="1:15" x14ac:dyDescent="0.3">
      <c r="A105" s="266" t="s">
        <v>171</v>
      </c>
      <c r="B105" s="267">
        <f>_xlfn.AGGREGATE(12,6,$K$81:$K$97)</f>
        <v>0</v>
      </c>
      <c r="C105" s="268">
        <f>_xlfn.AGGREGATE(12,6,$O$81:$O$97)</f>
        <v>0</v>
      </c>
      <c r="D105" s="247"/>
      <c r="E105" s="248" t="s">
        <v>171</v>
      </c>
      <c r="F105" s="269">
        <v>0.04</v>
      </c>
      <c r="G105" s="270">
        <v>0</v>
      </c>
      <c r="H105" s="269">
        <v>0</v>
      </c>
      <c r="I105" s="270">
        <v>0</v>
      </c>
      <c r="J105" s="269">
        <v>0</v>
      </c>
      <c r="K105" s="270">
        <v>0</v>
      </c>
      <c r="L105" s="272"/>
      <c r="M105" s="270"/>
      <c r="N105" s="47"/>
    </row>
    <row r="106" spans="1:15" x14ac:dyDescent="0.3">
      <c r="A106" s="247"/>
      <c r="B106" s="247"/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</row>
    <row r="107" spans="1:15" x14ac:dyDescent="0.3">
      <c r="A107" s="257" t="s">
        <v>77</v>
      </c>
      <c r="B107" s="432" t="s">
        <v>173</v>
      </c>
      <c r="C107" s="433"/>
      <c r="D107" s="247"/>
      <c r="E107" s="273" t="s">
        <v>77</v>
      </c>
      <c r="F107" s="431" t="s">
        <v>4</v>
      </c>
      <c r="G107" s="431"/>
      <c r="H107" s="431" t="s">
        <v>5</v>
      </c>
      <c r="I107" s="431"/>
      <c r="J107" s="431" t="s">
        <v>6</v>
      </c>
      <c r="K107" s="431"/>
      <c r="L107" s="431" t="s">
        <v>7</v>
      </c>
      <c r="M107" s="431"/>
    </row>
    <row r="108" spans="1:15" x14ac:dyDescent="0.3">
      <c r="A108" s="274" t="s">
        <v>12</v>
      </c>
      <c r="B108" s="275" t="s">
        <v>1</v>
      </c>
      <c r="C108" s="276" t="s">
        <v>76</v>
      </c>
      <c r="D108" s="247"/>
      <c r="E108" s="273" t="s">
        <v>12</v>
      </c>
      <c r="F108" s="253" t="s">
        <v>1</v>
      </c>
      <c r="G108" s="254" t="s">
        <v>76</v>
      </c>
      <c r="H108" s="255" t="s">
        <v>1</v>
      </c>
      <c r="I108" s="256" t="s">
        <v>76</v>
      </c>
      <c r="J108" s="257" t="s">
        <v>1</v>
      </c>
      <c r="K108" s="254" t="s">
        <v>76</v>
      </c>
      <c r="L108" s="258" t="s">
        <v>1</v>
      </c>
      <c r="M108" s="256" t="s">
        <v>76</v>
      </c>
    </row>
    <row r="109" spans="1:15" x14ac:dyDescent="0.3">
      <c r="A109" s="259" t="s">
        <v>172</v>
      </c>
      <c r="B109" s="260">
        <f>_xlfn.AGGREGATE(4,6,$C$81:$C$98)</f>
        <v>0.19</v>
      </c>
      <c r="C109" s="261">
        <f>_xlfn.AGGREGATE(4,6,$G$81:$G$98)</f>
        <v>0.42</v>
      </c>
      <c r="D109" s="247"/>
      <c r="E109" s="248" t="s">
        <v>172</v>
      </c>
      <c r="F109" s="262">
        <v>0.3095</v>
      </c>
      <c r="G109" s="263">
        <v>0.1</v>
      </c>
      <c r="H109" s="262">
        <v>0.22</v>
      </c>
      <c r="I109" s="263">
        <v>0.37</v>
      </c>
      <c r="J109" s="262">
        <v>0.19</v>
      </c>
      <c r="K109" s="263">
        <v>0.42</v>
      </c>
      <c r="L109" s="265"/>
      <c r="M109" s="263"/>
    </row>
    <row r="110" spans="1:15" x14ac:dyDescent="0.3">
      <c r="A110" s="259" t="s">
        <v>170</v>
      </c>
      <c r="B110" s="260">
        <f>_xlfn.AGGREGATE(5,6,$C$81:$C$98)</f>
        <v>0</v>
      </c>
      <c r="C110" s="261">
        <f>_xlfn.AGGREGATE(5,6,$G$81:$G$98)</f>
        <v>0</v>
      </c>
      <c r="D110" s="247"/>
      <c r="E110" s="248" t="s">
        <v>170</v>
      </c>
      <c r="F110" s="262">
        <v>0</v>
      </c>
      <c r="G110" s="263">
        <v>0</v>
      </c>
      <c r="H110" s="262">
        <v>0</v>
      </c>
      <c r="I110" s="263">
        <v>0</v>
      </c>
      <c r="J110" s="262">
        <v>0</v>
      </c>
      <c r="K110" s="263">
        <v>0</v>
      </c>
      <c r="L110" s="265"/>
      <c r="M110" s="263"/>
    </row>
    <row r="111" spans="1:15" x14ac:dyDescent="0.3">
      <c r="A111" s="266" t="s">
        <v>171</v>
      </c>
      <c r="B111" s="267">
        <f>_xlfn.AGGREGATE(12,6,$C$81:$C$98)</f>
        <v>7.5000000000000011E-2</v>
      </c>
      <c r="C111" s="268">
        <f>_xlfn.AGGREGATE(12,6,$G$81:$G$98)</f>
        <v>0.02</v>
      </c>
      <c r="D111" s="247"/>
      <c r="E111" s="248" t="s">
        <v>171</v>
      </c>
      <c r="F111" s="269">
        <v>6.3399999999999998E-2</v>
      </c>
      <c r="G111" s="270">
        <v>1.6E-2</v>
      </c>
      <c r="H111" s="269">
        <v>0.08</v>
      </c>
      <c r="I111" s="270">
        <v>0.05</v>
      </c>
      <c r="J111" s="269">
        <v>0.08</v>
      </c>
      <c r="K111" s="270">
        <v>0.02</v>
      </c>
      <c r="L111" s="272"/>
      <c r="M111" s="270"/>
    </row>
  </sheetData>
  <sortState xmlns:xlrd2="http://schemas.microsoft.com/office/spreadsheetml/2017/richdata2" ref="M83:O97">
    <sortCondition ref="O83:O97"/>
  </sortState>
  <mergeCells count="10">
    <mergeCell ref="B107:C107"/>
    <mergeCell ref="F107:G107"/>
    <mergeCell ref="H107:I107"/>
    <mergeCell ref="J107:K107"/>
    <mergeCell ref="L107:M107"/>
    <mergeCell ref="B101:C101"/>
    <mergeCell ref="F101:G101"/>
    <mergeCell ref="H101:I101"/>
    <mergeCell ref="J101:K101"/>
    <mergeCell ref="L101:M10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P111"/>
  <sheetViews>
    <sheetView topLeftCell="A13" zoomScale="90" zoomScaleNormal="90" workbookViewId="0">
      <selection activeCell="H27" sqref="H27:M27"/>
    </sheetView>
  </sheetViews>
  <sheetFormatPr defaultColWidth="8.6640625" defaultRowHeight="14.4" x14ac:dyDescent="0.3"/>
  <cols>
    <col min="1" max="16" width="12.33203125" style="33" customWidth="1"/>
    <col min="17" max="16384" width="8.6640625" style="33"/>
  </cols>
  <sheetData>
    <row r="1" spans="1:12" ht="23.4" x14ac:dyDescent="0.45">
      <c r="B1" s="167" t="s">
        <v>180</v>
      </c>
    </row>
    <row r="3" spans="1:12" x14ac:dyDescent="0.3">
      <c r="A3" s="198"/>
      <c r="B3" s="34" t="s">
        <v>147</v>
      </c>
      <c r="E3" s="198"/>
    </row>
    <row r="4" spans="1:12" x14ac:dyDescent="0.3">
      <c r="A4" s="198"/>
      <c r="B4" s="34" t="s">
        <v>148</v>
      </c>
      <c r="E4" s="198"/>
    </row>
    <row r="5" spans="1:12" x14ac:dyDescent="0.3">
      <c r="A5" s="198"/>
      <c r="B5" s="34" t="s">
        <v>149</v>
      </c>
      <c r="E5" s="198"/>
    </row>
    <row r="6" spans="1:12" s="102" customFormat="1" ht="21" x14ac:dyDescent="0.4">
      <c r="A6" s="199"/>
      <c r="B6" s="101" t="s">
        <v>106</v>
      </c>
      <c r="E6" s="199"/>
    </row>
    <row r="7" spans="1:12" s="104" customFormat="1" ht="43.5" customHeight="1" x14ac:dyDescent="0.4">
      <c r="A7" s="200"/>
      <c r="B7" s="105" t="s">
        <v>156</v>
      </c>
      <c r="E7" s="200"/>
    </row>
    <row r="8" spans="1:12" x14ac:dyDescent="0.3">
      <c r="B8" s="34" t="s">
        <v>185</v>
      </c>
      <c r="H8" s="198"/>
      <c r="I8" s="201" t="s">
        <v>53</v>
      </c>
      <c r="J8" s="198"/>
      <c r="K8" s="198"/>
      <c r="L8" s="198"/>
    </row>
    <row r="9" spans="1:12" ht="28.8" x14ac:dyDescent="0.3">
      <c r="A9" s="143"/>
      <c r="B9" s="156"/>
      <c r="C9" s="148" t="s">
        <v>9</v>
      </c>
      <c r="D9" s="148" t="s">
        <v>17</v>
      </c>
      <c r="E9" s="149" t="s">
        <v>33</v>
      </c>
      <c r="H9" s="143"/>
      <c r="I9" s="139"/>
      <c r="J9" s="148" t="s">
        <v>9</v>
      </c>
      <c r="K9" s="148" t="s">
        <v>17</v>
      </c>
      <c r="L9" s="149" t="s">
        <v>33</v>
      </c>
    </row>
    <row r="10" spans="1:12" x14ac:dyDescent="0.3">
      <c r="A10" s="144">
        <v>1</v>
      </c>
      <c r="B10" s="150" t="s">
        <v>157</v>
      </c>
      <c r="C10" s="151" t="e">
        <f t="shared" ref="C10:C27" si="0">IF(INDEX(Q4_Paeds,4+$A10,7)="No data",NA(),INDEX(Q4_Paeds,4+$A10,7))</f>
        <v>#N/A</v>
      </c>
      <c r="D10" s="151" t="e">
        <f t="shared" ref="D10:D27" si="1">IF(INDEX(Q4_Paeds,4+$A10,8)="No data",NA(),INDEX(Q4_Paeds,4+$A10,8))</f>
        <v>#N/A</v>
      </c>
      <c r="E10" s="152" t="e">
        <f t="shared" ref="E10:E27" si="2">MAX(C10:D10)</f>
        <v>#N/A</v>
      </c>
      <c r="H10" s="144">
        <v>1</v>
      </c>
      <c r="I10" s="150" t="s">
        <v>157</v>
      </c>
      <c r="J10" s="151" t="e">
        <f t="shared" ref="J10:J26" si="3">IF(INDEX(Q4_Adult,4+$H10,7)="No data",NA(),INDEX(Q4_Adult,4+$H10,7))</f>
        <v>#N/A</v>
      </c>
      <c r="K10" s="151" t="e">
        <f t="shared" ref="K10:K26" si="4">IF(INDEX(Q4_Adult,4+$H10,8)="No data",NA(),INDEX(Q4_Adult,4+$H10,8))</f>
        <v>#N/A</v>
      </c>
      <c r="L10" s="152" t="e">
        <f t="shared" ref="L10:L26" si="5">MAX(J10:K10)</f>
        <v>#N/A</v>
      </c>
    </row>
    <row r="11" spans="1:12" x14ac:dyDescent="0.3">
      <c r="A11" s="144">
        <v>2</v>
      </c>
      <c r="B11" s="150" t="s">
        <v>158</v>
      </c>
      <c r="C11" s="151" t="e">
        <f t="shared" si="0"/>
        <v>#N/A</v>
      </c>
      <c r="D11" s="151" t="e">
        <f t="shared" si="1"/>
        <v>#N/A</v>
      </c>
      <c r="E11" s="152" t="e">
        <f t="shared" si="2"/>
        <v>#N/A</v>
      </c>
      <c r="H11" s="144">
        <v>2</v>
      </c>
      <c r="I11" s="150" t="s">
        <v>158</v>
      </c>
      <c r="J11" s="151" t="e">
        <f t="shared" si="3"/>
        <v>#N/A</v>
      </c>
      <c r="K11" s="151" t="e">
        <f t="shared" si="4"/>
        <v>#N/A</v>
      </c>
      <c r="L11" s="152" t="e">
        <f t="shared" si="5"/>
        <v>#N/A</v>
      </c>
    </row>
    <row r="12" spans="1:12" x14ac:dyDescent="0.3">
      <c r="A12" s="144">
        <v>3</v>
      </c>
      <c r="B12" s="150" t="s">
        <v>159</v>
      </c>
      <c r="C12" s="151" t="e">
        <f t="shared" si="0"/>
        <v>#N/A</v>
      </c>
      <c r="D12" s="151" t="e">
        <f t="shared" si="1"/>
        <v>#N/A</v>
      </c>
      <c r="E12" s="152" t="e">
        <f t="shared" si="2"/>
        <v>#N/A</v>
      </c>
      <c r="H12" s="144">
        <v>3</v>
      </c>
      <c r="I12" s="150" t="s">
        <v>159</v>
      </c>
      <c r="J12" s="151" t="e">
        <f t="shared" si="3"/>
        <v>#N/A</v>
      </c>
      <c r="K12" s="151" t="e">
        <f t="shared" si="4"/>
        <v>#N/A</v>
      </c>
      <c r="L12" s="152" t="e">
        <f t="shared" si="5"/>
        <v>#N/A</v>
      </c>
    </row>
    <row r="13" spans="1:12" x14ac:dyDescent="0.3">
      <c r="A13" s="144">
        <v>4</v>
      </c>
      <c r="B13" s="150" t="s">
        <v>160</v>
      </c>
      <c r="C13" s="151" t="e">
        <f t="shared" si="0"/>
        <v>#N/A</v>
      </c>
      <c r="D13" s="151" t="e">
        <f t="shared" si="1"/>
        <v>#N/A</v>
      </c>
      <c r="E13" s="152" t="e">
        <f t="shared" si="2"/>
        <v>#N/A</v>
      </c>
      <c r="H13" s="144">
        <v>4</v>
      </c>
      <c r="I13" s="150" t="s">
        <v>160</v>
      </c>
      <c r="J13" s="151" t="e">
        <f t="shared" si="3"/>
        <v>#N/A</v>
      </c>
      <c r="K13" s="151" t="e">
        <f t="shared" si="4"/>
        <v>#N/A</v>
      </c>
      <c r="L13" s="152" t="e">
        <f t="shared" si="5"/>
        <v>#N/A</v>
      </c>
    </row>
    <row r="14" spans="1:12" x14ac:dyDescent="0.3">
      <c r="A14" s="144">
        <v>5</v>
      </c>
      <c r="B14" s="150" t="s">
        <v>161</v>
      </c>
      <c r="C14" s="151" t="e">
        <f t="shared" si="0"/>
        <v>#N/A</v>
      </c>
      <c r="D14" s="151" t="e">
        <f t="shared" si="1"/>
        <v>#N/A</v>
      </c>
      <c r="E14" s="152" t="e">
        <f t="shared" si="2"/>
        <v>#N/A</v>
      </c>
      <c r="H14" s="144">
        <v>5</v>
      </c>
      <c r="I14" s="150" t="s">
        <v>161</v>
      </c>
      <c r="J14" s="151" t="e">
        <f t="shared" si="3"/>
        <v>#N/A</v>
      </c>
      <c r="K14" s="151" t="e">
        <f t="shared" si="4"/>
        <v>#N/A</v>
      </c>
      <c r="L14" s="152" t="e">
        <f t="shared" si="5"/>
        <v>#N/A</v>
      </c>
    </row>
    <row r="15" spans="1:12" x14ac:dyDescent="0.3">
      <c r="A15" s="144">
        <v>6</v>
      </c>
      <c r="B15" s="150" t="s">
        <v>165</v>
      </c>
      <c r="C15" s="151" t="e">
        <f t="shared" si="0"/>
        <v>#N/A</v>
      </c>
      <c r="D15" s="151" t="e">
        <f t="shared" si="1"/>
        <v>#N/A</v>
      </c>
      <c r="E15" s="152" t="e">
        <f t="shared" si="2"/>
        <v>#N/A</v>
      </c>
      <c r="H15" s="144">
        <v>6</v>
      </c>
      <c r="I15" s="150" t="s">
        <v>165</v>
      </c>
      <c r="J15" s="151" t="e">
        <f t="shared" si="3"/>
        <v>#N/A</v>
      </c>
      <c r="K15" s="151" t="e">
        <f t="shared" si="4"/>
        <v>#N/A</v>
      </c>
      <c r="L15" s="152" t="e">
        <f t="shared" si="5"/>
        <v>#N/A</v>
      </c>
    </row>
    <row r="16" spans="1:12" x14ac:dyDescent="0.3">
      <c r="A16" s="144">
        <v>7</v>
      </c>
      <c r="B16" s="150" t="s">
        <v>166</v>
      </c>
      <c r="C16" s="151" t="e">
        <f t="shared" si="0"/>
        <v>#N/A</v>
      </c>
      <c r="D16" s="151" t="e">
        <f t="shared" si="1"/>
        <v>#N/A</v>
      </c>
      <c r="E16" s="152" t="e">
        <f t="shared" si="2"/>
        <v>#N/A</v>
      </c>
      <c r="H16" s="144">
        <v>7</v>
      </c>
      <c r="I16" s="150" t="s">
        <v>166</v>
      </c>
      <c r="J16" s="151" t="e">
        <f t="shared" si="3"/>
        <v>#N/A</v>
      </c>
      <c r="K16" s="151" t="e">
        <f t="shared" si="4"/>
        <v>#N/A</v>
      </c>
      <c r="L16" s="152" t="e">
        <f t="shared" si="5"/>
        <v>#N/A</v>
      </c>
    </row>
    <row r="17" spans="1:16" x14ac:dyDescent="0.3">
      <c r="A17" s="144">
        <v>8</v>
      </c>
      <c r="B17" s="150" t="s">
        <v>162</v>
      </c>
      <c r="C17" s="151" t="e">
        <f t="shared" si="0"/>
        <v>#N/A</v>
      </c>
      <c r="D17" s="151" t="e">
        <f t="shared" si="1"/>
        <v>#N/A</v>
      </c>
      <c r="E17" s="152" t="e">
        <f t="shared" si="2"/>
        <v>#N/A</v>
      </c>
      <c r="H17" s="144">
        <v>8</v>
      </c>
      <c r="I17" s="150" t="s">
        <v>162</v>
      </c>
      <c r="J17" s="151" t="e">
        <f t="shared" si="3"/>
        <v>#N/A</v>
      </c>
      <c r="K17" s="151" t="e">
        <f t="shared" si="4"/>
        <v>#N/A</v>
      </c>
      <c r="L17" s="152" t="e">
        <f t="shared" si="5"/>
        <v>#N/A</v>
      </c>
    </row>
    <row r="18" spans="1:16" x14ac:dyDescent="0.3">
      <c r="A18" s="144">
        <v>9</v>
      </c>
      <c r="B18" s="150" t="s">
        <v>58</v>
      </c>
      <c r="C18" s="151" t="e">
        <f t="shared" si="0"/>
        <v>#N/A</v>
      </c>
      <c r="D18" s="151" t="e">
        <f t="shared" si="1"/>
        <v>#N/A</v>
      </c>
      <c r="E18" s="152" t="e">
        <f t="shared" si="2"/>
        <v>#N/A</v>
      </c>
      <c r="H18" s="144">
        <v>9</v>
      </c>
      <c r="I18" s="150" t="s">
        <v>58</v>
      </c>
      <c r="J18" s="151" t="e">
        <f t="shared" si="3"/>
        <v>#N/A</v>
      </c>
      <c r="K18" s="151" t="e">
        <f t="shared" si="4"/>
        <v>#N/A</v>
      </c>
      <c r="L18" s="152" t="e">
        <f t="shared" si="5"/>
        <v>#N/A</v>
      </c>
    </row>
    <row r="19" spans="1:16" x14ac:dyDescent="0.3">
      <c r="A19" s="144">
        <v>10</v>
      </c>
      <c r="B19" s="150" t="s">
        <v>59</v>
      </c>
      <c r="C19" s="151" t="e">
        <f t="shared" si="0"/>
        <v>#N/A</v>
      </c>
      <c r="D19" s="151" t="e">
        <f t="shared" si="1"/>
        <v>#N/A</v>
      </c>
      <c r="E19" s="152" t="e">
        <f t="shared" si="2"/>
        <v>#N/A</v>
      </c>
      <c r="H19" s="144">
        <v>10</v>
      </c>
      <c r="I19" s="150" t="s">
        <v>164</v>
      </c>
      <c r="J19" s="151" t="e">
        <f t="shared" si="3"/>
        <v>#N/A</v>
      </c>
      <c r="K19" s="151" t="e">
        <f t="shared" si="4"/>
        <v>#N/A</v>
      </c>
      <c r="L19" s="152" t="e">
        <f t="shared" si="5"/>
        <v>#N/A</v>
      </c>
    </row>
    <row r="20" spans="1:16" x14ac:dyDescent="0.3">
      <c r="A20" s="144">
        <v>11</v>
      </c>
      <c r="B20" s="150" t="s">
        <v>164</v>
      </c>
      <c r="C20" s="151" t="e">
        <f t="shared" si="0"/>
        <v>#N/A</v>
      </c>
      <c r="D20" s="151" t="e">
        <f t="shared" si="1"/>
        <v>#N/A</v>
      </c>
      <c r="E20" s="152" t="e">
        <f t="shared" si="2"/>
        <v>#N/A</v>
      </c>
      <c r="H20" s="144">
        <v>11</v>
      </c>
      <c r="I20" s="150" t="s">
        <v>60</v>
      </c>
      <c r="J20" s="151" t="e">
        <f t="shared" si="3"/>
        <v>#N/A</v>
      </c>
      <c r="K20" s="151" t="e">
        <f t="shared" si="4"/>
        <v>#N/A</v>
      </c>
      <c r="L20" s="152" t="e">
        <f t="shared" si="5"/>
        <v>#N/A</v>
      </c>
    </row>
    <row r="21" spans="1:16" x14ac:dyDescent="0.3">
      <c r="A21" s="144">
        <v>12</v>
      </c>
      <c r="B21" s="150" t="s">
        <v>60</v>
      </c>
      <c r="C21" s="151" t="e">
        <f t="shared" si="0"/>
        <v>#N/A</v>
      </c>
      <c r="D21" s="151" t="e">
        <f t="shared" si="1"/>
        <v>#N/A</v>
      </c>
      <c r="E21" s="152" t="e">
        <f t="shared" si="2"/>
        <v>#N/A</v>
      </c>
      <c r="H21" s="144">
        <v>12</v>
      </c>
      <c r="I21" s="150" t="s">
        <v>56</v>
      </c>
      <c r="J21" s="151" t="e">
        <f t="shared" si="3"/>
        <v>#N/A</v>
      </c>
      <c r="K21" s="151" t="e">
        <f t="shared" si="4"/>
        <v>#N/A</v>
      </c>
      <c r="L21" s="152" t="e">
        <f t="shared" si="5"/>
        <v>#N/A</v>
      </c>
      <c r="P21" s="33" t="s">
        <v>55</v>
      </c>
    </row>
    <row r="22" spans="1:16" x14ac:dyDescent="0.3">
      <c r="A22" s="144">
        <v>13</v>
      </c>
      <c r="B22" s="150" t="s">
        <v>56</v>
      </c>
      <c r="C22" s="151" t="e">
        <f t="shared" si="0"/>
        <v>#N/A</v>
      </c>
      <c r="D22" s="151" t="e">
        <f t="shared" si="1"/>
        <v>#N/A</v>
      </c>
      <c r="E22" s="152" t="e">
        <f t="shared" si="2"/>
        <v>#N/A</v>
      </c>
      <c r="H22" s="144">
        <v>13</v>
      </c>
      <c r="I22" s="150" t="s">
        <v>61</v>
      </c>
      <c r="J22" s="151" t="e">
        <f t="shared" si="3"/>
        <v>#N/A</v>
      </c>
      <c r="K22" s="151" t="e">
        <f t="shared" si="4"/>
        <v>#N/A</v>
      </c>
      <c r="L22" s="152" t="e">
        <f t="shared" si="5"/>
        <v>#N/A</v>
      </c>
    </row>
    <row r="23" spans="1:16" x14ac:dyDescent="0.3">
      <c r="A23" s="144">
        <v>14</v>
      </c>
      <c r="B23" s="150" t="s">
        <v>61</v>
      </c>
      <c r="C23" s="151" t="e">
        <f t="shared" si="0"/>
        <v>#N/A</v>
      </c>
      <c r="D23" s="151" t="e">
        <f t="shared" si="1"/>
        <v>#N/A</v>
      </c>
      <c r="E23" s="152" t="e">
        <f t="shared" si="2"/>
        <v>#N/A</v>
      </c>
      <c r="H23" s="144">
        <v>14</v>
      </c>
      <c r="I23" s="150" t="s">
        <v>52</v>
      </c>
      <c r="J23" s="151" t="e">
        <f t="shared" si="3"/>
        <v>#N/A</v>
      </c>
      <c r="K23" s="151" t="e">
        <f t="shared" si="4"/>
        <v>#N/A</v>
      </c>
      <c r="L23" s="152" t="e">
        <f t="shared" si="5"/>
        <v>#N/A</v>
      </c>
    </row>
    <row r="24" spans="1:16" x14ac:dyDescent="0.3">
      <c r="A24" s="144">
        <v>15</v>
      </c>
      <c r="B24" s="150" t="s">
        <v>52</v>
      </c>
      <c r="C24" s="151" t="e">
        <f t="shared" si="0"/>
        <v>#N/A</v>
      </c>
      <c r="D24" s="151" t="e">
        <f t="shared" si="1"/>
        <v>#N/A</v>
      </c>
      <c r="E24" s="152" t="e">
        <f t="shared" si="2"/>
        <v>#N/A</v>
      </c>
      <c r="H24" s="144">
        <v>15</v>
      </c>
      <c r="I24" s="150" t="s">
        <v>57</v>
      </c>
      <c r="J24" s="151" t="e">
        <f t="shared" si="3"/>
        <v>#N/A</v>
      </c>
      <c r="K24" s="151" t="e">
        <f t="shared" si="4"/>
        <v>#N/A</v>
      </c>
      <c r="L24" s="152" t="e">
        <f t="shared" si="5"/>
        <v>#N/A</v>
      </c>
    </row>
    <row r="25" spans="1:16" x14ac:dyDescent="0.3">
      <c r="A25" s="144">
        <v>16</v>
      </c>
      <c r="B25" s="150" t="s">
        <v>57</v>
      </c>
      <c r="C25" s="151" t="e">
        <f t="shared" si="0"/>
        <v>#N/A</v>
      </c>
      <c r="D25" s="151" t="e">
        <f t="shared" si="1"/>
        <v>#N/A</v>
      </c>
      <c r="E25" s="152" t="e">
        <f t="shared" si="2"/>
        <v>#N/A</v>
      </c>
      <c r="H25" s="144">
        <v>16</v>
      </c>
      <c r="I25" s="150" t="s">
        <v>54</v>
      </c>
      <c r="J25" s="151" t="e">
        <f t="shared" si="3"/>
        <v>#N/A</v>
      </c>
      <c r="K25" s="151" t="e">
        <f t="shared" si="4"/>
        <v>#N/A</v>
      </c>
      <c r="L25" s="152" t="e">
        <f t="shared" si="5"/>
        <v>#N/A</v>
      </c>
    </row>
    <row r="26" spans="1:16" x14ac:dyDescent="0.3">
      <c r="A26" s="144">
        <v>17</v>
      </c>
      <c r="B26" s="150" t="s">
        <v>54</v>
      </c>
      <c r="C26" s="151" t="e">
        <f t="shared" si="0"/>
        <v>#N/A</v>
      </c>
      <c r="D26" s="151" t="e">
        <f t="shared" si="1"/>
        <v>#N/A</v>
      </c>
      <c r="E26" s="152" t="e">
        <f t="shared" si="2"/>
        <v>#N/A</v>
      </c>
      <c r="H26" s="145">
        <v>17</v>
      </c>
      <c r="I26" s="153" t="s">
        <v>62</v>
      </c>
      <c r="J26" s="151" t="e">
        <f t="shared" si="3"/>
        <v>#N/A</v>
      </c>
      <c r="K26" s="151" t="e">
        <f t="shared" si="4"/>
        <v>#N/A</v>
      </c>
      <c r="L26" s="152" t="e">
        <f t="shared" si="5"/>
        <v>#N/A</v>
      </c>
    </row>
    <row r="27" spans="1:16" x14ac:dyDescent="0.3">
      <c r="A27" s="145">
        <v>18</v>
      </c>
      <c r="B27" s="153" t="s">
        <v>62</v>
      </c>
      <c r="C27" s="154" t="e">
        <f t="shared" si="0"/>
        <v>#N/A</v>
      </c>
      <c r="D27" s="154" t="e">
        <f t="shared" si="1"/>
        <v>#N/A</v>
      </c>
      <c r="E27" s="155" t="e">
        <f t="shared" si="2"/>
        <v>#N/A</v>
      </c>
    </row>
    <row r="31" spans="1:16" s="103" customFormat="1" ht="18" x14ac:dyDescent="0.35">
      <c r="B31" s="103" t="s">
        <v>107</v>
      </c>
    </row>
    <row r="32" spans="1:16" s="104" customFormat="1" ht="43.5" customHeight="1" x14ac:dyDescent="0.4">
      <c r="B32" s="105" t="s">
        <v>156</v>
      </c>
    </row>
    <row r="33" spans="1:13" x14ac:dyDescent="0.3">
      <c r="B33" s="46"/>
      <c r="C33" s="238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5" customHeight="1" x14ac:dyDescent="0.3">
      <c r="A34" s="42"/>
      <c r="B34" s="135" t="s">
        <v>72</v>
      </c>
      <c r="C34" s="42"/>
      <c r="D34" s="42"/>
      <c r="E34" s="42"/>
      <c r="F34" s="135"/>
      <c r="G34" s="135"/>
      <c r="H34" s="46"/>
      <c r="I34" s="135" t="s">
        <v>70</v>
      </c>
      <c r="J34" s="137"/>
      <c r="K34" s="138"/>
      <c r="L34" s="138"/>
      <c r="M34" s="138"/>
    </row>
    <row r="35" spans="1:13" x14ac:dyDescent="0.3">
      <c r="A35" s="143"/>
      <c r="B35" s="139"/>
      <c r="C35" s="139" t="s">
        <v>93</v>
      </c>
      <c r="D35" s="139" t="s">
        <v>94</v>
      </c>
      <c r="E35" s="139" t="s">
        <v>36</v>
      </c>
      <c r="F35" s="140" t="s">
        <v>182</v>
      </c>
      <c r="G35" s="135"/>
      <c r="H35" s="143"/>
      <c r="I35" s="139"/>
      <c r="J35" s="139" t="s">
        <v>93</v>
      </c>
      <c r="K35" s="139" t="s">
        <v>94</v>
      </c>
      <c r="L35" s="139" t="s">
        <v>36</v>
      </c>
      <c r="M35" s="140" t="s">
        <v>182</v>
      </c>
    </row>
    <row r="36" spans="1:13" x14ac:dyDescent="0.3">
      <c r="A36" s="144">
        <v>1</v>
      </c>
      <c r="B36" s="150" t="s">
        <v>157</v>
      </c>
      <c r="C36" s="151" t="e">
        <f t="shared" ref="C36:C53" si="6">IF(INDEX(Q4_Paeds,4+$A36,10)="No data",NA(),INDEX(Q4_Paeds,4+$A36,10))</f>
        <v>#N/A</v>
      </c>
      <c r="D36" s="151" t="e">
        <f t="shared" ref="D36:D53" si="7">IF(INDEX(Q4_Paeds,4+$A36,11)="No data",NA(),INDEX(Q4_Paeds,4+$A36,11))</f>
        <v>#N/A</v>
      </c>
      <c r="E36" s="151" t="e">
        <f t="shared" ref="E36:E53" si="8">IF(INDEX(Q4_Paeds,4+$A36,12)="No data",NA(),INDEX(Q4_Paeds,4+$A36,12))</f>
        <v>#N/A</v>
      </c>
      <c r="F36" s="141" t="e">
        <f t="shared" ref="F36:F53" si="9">SUM(C36:E36)</f>
        <v>#N/A</v>
      </c>
      <c r="G36" s="136"/>
      <c r="H36" s="144">
        <v>1</v>
      </c>
      <c r="I36" s="150" t="s">
        <v>157</v>
      </c>
      <c r="J36" s="151" t="e">
        <f t="shared" ref="J36:J52" si="10">IF(INDEX(Q4_Adult,4+$H36,10)="No data",NA(),INDEX(Q4_Adult,4+$H36,10))</f>
        <v>#N/A</v>
      </c>
      <c r="K36" s="151" t="e">
        <f t="shared" ref="K36:K52" si="11">IF(INDEX(Q4_Adult,4+$H36,11)="No data",NA(),INDEX(Q4_Adult,4+$H36,11))</f>
        <v>#N/A</v>
      </c>
      <c r="L36" s="151" t="e">
        <f t="shared" ref="L36:L52" si="12">IF(INDEX(Q4_Adult,4+$H36,12)="No data",NA(),INDEX(Q4_Adult,4+$H36,12))</f>
        <v>#N/A</v>
      </c>
      <c r="M36" s="141" t="e">
        <f t="shared" ref="M36:M52" si="13">SUM(J36:L36)</f>
        <v>#N/A</v>
      </c>
    </row>
    <row r="37" spans="1:13" x14ac:dyDescent="0.3">
      <c r="A37" s="144">
        <v>2</v>
      </c>
      <c r="B37" s="150" t="s">
        <v>158</v>
      </c>
      <c r="C37" s="151" t="e">
        <f t="shared" si="6"/>
        <v>#N/A</v>
      </c>
      <c r="D37" s="151" t="e">
        <f t="shared" si="7"/>
        <v>#N/A</v>
      </c>
      <c r="E37" s="151" t="e">
        <f t="shared" si="8"/>
        <v>#N/A</v>
      </c>
      <c r="F37" s="141" t="e">
        <f t="shared" si="9"/>
        <v>#N/A</v>
      </c>
      <c r="G37" s="136"/>
      <c r="H37" s="144">
        <v>2</v>
      </c>
      <c r="I37" s="150" t="s">
        <v>158</v>
      </c>
      <c r="J37" s="151" t="e">
        <f t="shared" si="10"/>
        <v>#N/A</v>
      </c>
      <c r="K37" s="151" t="e">
        <f t="shared" si="11"/>
        <v>#N/A</v>
      </c>
      <c r="L37" s="151" t="e">
        <f t="shared" si="12"/>
        <v>#N/A</v>
      </c>
      <c r="M37" s="141" t="e">
        <f t="shared" si="13"/>
        <v>#N/A</v>
      </c>
    </row>
    <row r="38" spans="1:13" x14ac:dyDescent="0.3">
      <c r="A38" s="144">
        <v>3</v>
      </c>
      <c r="B38" s="150" t="s">
        <v>159</v>
      </c>
      <c r="C38" s="151" t="e">
        <f t="shared" si="6"/>
        <v>#N/A</v>
      </c>
      <c r="D38" s="151" t="e">
        <f t="shared" si="7"/>
        <v>#N/A</v>
      </c>
      <c r="E38" s="151" t="e">
        <f t="shared" si="8"/>
        <v>#N/A</v>
      </c>
      <c r="F38" s="141" t="e">
        <f t="shared" si="9"/>
        <v>#N/A</v>
      </c>
      <c r="G38" s="136"/>
      <c r="H38" s="144">
        <v>3</v>
      </c>
      <c r="I38" s="150" t="s">
        <v>159</v>
      </c>
      <c r="J38" s="151" t="e">
        <f t="shared" si="10"/>
        <v>#N/A</v>
      </c>
      <c r="K38" s="151" t="e">
        <f t="shared" si="11"/>
        <v>#N/A</v>
      </c>
      <c r="L38" s="151" t="e">
        <f t="shared" si="12"/>
        <v>#N/A</v>
      </c>
      <c r="M38" s="141" t="e">
        <f t="shared" si="13"/>
        <v>#N/A</v>
      </c>
    </row>
    <row r="39" spans="1:13" x14ac:dyDescent="0.3">
      <c r="A39" s="144">
        <v>4</v>
      </c>
      <c r="B39" s="150" t="s">
        <v>160</v>
      </c>
      <c r="C39" s="151" t="e">
        <f t="shared" si="6"/>
        <v>#N/A</v>
      </c>
      <c r="D39" s="151" t="e">
        <f t="shared" si="7"/>
        <v>#N/A</v>
      </c>
      <c r="E39" s="151" t="e">
        <f t="shared" si="8"/>
        <v>#N/A</v>
      </c>
      <c r="F39" s="141" t="e">
        <f t="shared" si="9"/>
        <v>#N/A</v>
      </c>
      <c r="G39" s="136"/>
      <c r="H39" s="144">
        <v>4</v>
      </c>
      <c r="I39" s="150" t="s">
        <v>160</v>
      </c>
      <c r="J39" s="151" t="e">
        <f t="shared" si="10"/>
        <v>#N/A</v>
      </c>
      <c r="K39" s="151" t="e">
        <f t="shared" si="11"/>
        <v>#N/A</v>
      </c>
      <c r="L39" s="151" t="e">
        <f t="shared" si="12"/>
        <v>#N/A</v>
      </c>
      <c r="M39" s="141" t="e">
        <f t="shared" si="13"/>
        <v>#N/A</v>
      </c>
    </row>
    <row r="40" spans="1:13" x14ac:dyDescent="0.3">
      <c r="A40" s="144">
        <v>5</v>
      </c>
      <c r="B40" s="150" t="s">
        <v>161</v>
      </c>
      <c r="C40" s="151" t="e">
        <f t="shared" si="6"/>
        <v>#N/A</v>
      </c>
      <c r="D40" s="151" t="e">
        <f t="shared" si="7"/>
        <v>#N/A</v>
      </c>
      <c r="E40" s="151" t="e">
        <f t="shared" si="8"/>
        <v>#N/A</v>
      </c>
      <c r="F40" s="141" t="e">
        <f t="shared" si="9"/>
        <v>#N/A</v>
      </c>
      <c r="G40" s="136"/>
      <c r="H40" s="144">
        <v>5</v>
      </c>
      <c r="I40" s="150" t="s">
        <v>161</v>
      </c>
      <c r="J40" s="151" t="e">
        <f t="shared" si="10"/>
        <v>#N/A</v>
      </c>
      <c r="K40" s="151" t="e">
        <f t="shared" si="11"/>
        <v>#N/A</v>
      </c>
      <c r="L40" s="151" t="e">
        <f t="shared" si="12"/>
        <v>#N/A</v>
      </c>
      <c r="M40" s="141" t="e">
        <f t="shared" si="13"/>
        <v>#N/A</v>
      </c>
    </row>
    <row r="41" spans="1:13" x14ac:dyDescent="0.3">
      <c r="A41" s="144">
        <v>6</v>
      </c>
      <c r="B41" s="150" t="s">
        <v>165</v>
      </c>
      <c r="C41" s="151" t="e">
        <f t="shared" si="6"/>
        <v>#N/A</v>
      </c>
      <c r="D41" s="151" t="e">
        <f t="shared" si="7"/>
        <v>#N/A</v>
      </c>
      <c r="E41" s="151" t="e">
        <f t="shared" si="8"/>
        <v>#N/A</v>
      </c>
      <c r="F41" s="141" t="e">
        <f t="shared" si="9"/>
        <v>#N/A</v>
      </c>
      <c r="G41" s="136"/>
      <c r="H41" s="144">
        <v>6</v>
      </c>
      <c r="I41" s="150" t="s">
        <v>165</v>
      </c>
      <c r="J41" s="151" t="e">
        <f t="shared" si="10"/>
        <v>#N/A</v>
      </c>
      <c r="K41" s="151" t="e">
        <f t="shared" si="11"/>
        <v>#N/A</v>
      </c>
      <c r="L41" s="151" t="e">
        <f t="shared" si="12"/>
        <v>#N/A</v>
      </c>
      <c r="M41" s="141" t="e">
        <f t="shared" si="13"/>
        <v>#N/A</v>
      </c>
    </row>
    <row r="42" spans="1:13" x14ac:dyDescent="0.3">
      <c r="A42" s="144">
        <v>7</v>
      </c>
      <c r="B42" s="150" t="s">
        <v>166</v>
      </c>
      <c r="C42" s="151" t="e">
        <f t="shared" si="6"/>
        <v>#N/A</v>
      </c>
      <c r="D42" s="151" t="e">
        <f t="shared" si="7"/>
        <v>#N/A</v>
      </c>
      <c r="E42" s="151" t="e">
        <f t="shared" si="8"/>
        <v>#N/A</v>
      </c>
      <c r="F42" s="141" t="e">
        <f t="shared" si="9"/>
        <v>#N/A</v>
      </c>
      <c r="G42" s="136"/>
      <c r="H42" s="144">
        <v>7</v>
      </c>
      <c r="I42" s="150" t="s">
        <v>166</v>
      </c>
      <c r="J42" s="151" t="e">
        <f t="shared" si="10"/>
        <v>#N/A</v>
      </c>
      <c r="K42" s="151" t="e">
        <f t="shared" si="11"/>
        <v>#N/A</v>
      </c>
      <c r="L42" s="151" t="e">
        <f t="shared" si="12"/>
        <v>#N/A</v>
      </c>
      <c r="M42" s="141" t="e">
        <f t="shared" si="13"/>
        <v>#N/A</v>
      </c>
    </row>
    <row r="43" spans="1:13" x14ac:dyDescent="0.3">
      <c r="A43" s="144">
        <v>8</v>
      </c>
      <c r="B43" s="150" t="s">
        <v>162</v>
      </c>
      <c r="C43" s="151" t="e">
        <f t="shared" si="6"/>
        <v>#N/A</v>
      </c>
      <c r="D43" s="151" t="e">
        <f t="shared" si="7"/>
        <v>#N/A</v>
      </c>
      <c r="E43" s="151" t="e">
        <f t="shared" si="8"/>
        <v>#N/A</v>
      </c>
      <c r="F43" s="141" t="e">
        <f t="shared" si="9"/>
        <v>#N/A</v>
      </c>
      <c r="G43" s="136"/>
      <c r="H43" s="144">
        <v>8</v>
      </c>
      <c r="I43" s="150" t="s">
        <v>162</v>
      </c>
      <c r="J43" s="151" t="e">
        <f t="shared" si="10"/>
        <v>#N/A</v>
      </c>
      <c r="K43" s="151" t="e">
        <f t="shared" si="11"/>
        <v>#N/A</v>
      </c>
      <c r="L43" s="151" t="e">
        <f t="shared" si="12"/>
        <v>#N/A</v>
      </c>
      <c r="M43" s="141" t="e">
        <f t="shared" si="13"/>
        <v>#N/A</v>
      </c>
    </row>
    <row r="44" spans="1:13" x14ac:dyDescent="0.3">
      <c r="A44" s="144">
        <v>9</v>
      </c>
      <c r="B44" s="150" t="s">
        <v>58</v>
      </c>
      <c r="C44" s="151" t="e">
        <f t="shared" si="6"/>
        <v>#N/A</v>
      </c>
      <c r="D44" s="151" t="e">
        <f t="shared" si="7"/>
        <v>#N/A</v>
      </c>
      <c r="E44" s="151" t="e">
        <f t="shared" si="8"/>
        <v>#N/A</v>
      </c>
      <c r="F44" s="141" t="e">
        <f t="shared" si="9"/>
        <v>#N/A</v>
      </c>
      <c r="G44" s="136"/>
      <c r="H44" s="144">
        <v>9</v>
      </c>
      <c r="I44" s="150" t="s">
        <v>58</v>
      </c>
      <c r="J44" s="151" t="e">
        <f t="shared" si="10"/>
        <v>#N/A</v>
      </c>
      <c r="K44" s="151" t="e">
        <f t="shared" si="11"/>
        <v>#N/A</v>
      </c>
      <c r="L44" s="151" t="e">
        <f t="shared" si="12"/>
        <v>#N/A</v>
      </c>
      <c r="M44" s="141" t="e">
        <f t="shared" si="13"/>
        <v>#N/A</v>
      </c>
    </row>
    <row r="45" spans="1:13" x14ac:dyDescent="0.3">
      <c r="A45" s="144">
        <v>10</v>
      </c>
      <c r="B45" s="150" t="s">
        <v>59</v>
      </c>
      <c r="C45" s="151" t="e">
        <f t="shared" si="6"/>
        <v>#N/A</v>
      </c>
      <c r="D45" s="151" t="e">
        <f t="shared" si="7"/>
        <v>#N/A</v>
      </c>
      <c r="E45" s="151" t="e">
        <f t="shared" si="8"/>
        <v>#N/A</v>
      </c>
      <c r="F45" s="141" t="e">
        <f t="shared" si="9"/>
        <v>#N/A</v>
      </c>
      <c r="G45" s="136"/>
      <c r="H45" s="144">
        <v>10</v>
      </c>
      <c r="I45" s="150" t="s">
        <v>164</v>
      </c>
      <c r="J45" s="151" t="e">
        <f t="shared" si="10"/>
        <v>#N/A</v>
      </c>
      <c r="K45" s="151" t="e">
        <f t="shared" si="11"/>
        <v>#N/A</v>
      </c>
      <c r="L45" s="151" t="e">
        <f t="shared" si="12"/>
        <v>#N/A</v>
      </c>
      <c r="M45" s="141" t="e">
        <f t="shared" si="13"/>
        <v>#N/A</v>
      </c>
    </row>
    <row r="46" spans="1:13" x14ac:dyDescent="0.3">
      <c r="A46" s="144">
        <v>11</v>
      </c>
      <c r="B46" s="150" t="s">
        <v>164</v>
      </c>
      <c r="C46" s="151" t="e">
        <f t="shared" si="6"/>
        <v>#N/A</v>
      </c>
      <c r="D46" s="151" t="e">
        <f t="shared" si="7"/>
        <v>#N/A</v>
      </c>
      <c r="E46" s="151" t="e">
        <f t="shared" si="8"/>
        <v>#N/A</v>
      </c>
      <c r="F46" s="141" t="e">
        <f t="shared" si="9"/>
        <v>#N/A</v>
      </c>
      <c r="G46" s="136"/>
      <c r="H46" s="144">
        <v>11</v>
      </c>
      <c r="I46" s="150" t="s">
        <v>60</v>
      </c>
      <c r="J46" s="151" t="e">
        <f t="shared" si="10"/>
        <v>#N/A</v>
      </c>
      <c r="K46" s="151" t="e">
        <f t="shared" si="11"/>
        <v>#N/A</v>
      </c>
      <c r="L46" s="151" t="e">
        <f t="shared" si="12"/>
        <v>#N/A</v>
      </c>
      <c r="M46" s="141" t="e">
        <f t="shared" si="13"/>
        <v>#N/A</v>
      </c>
    </row>
    <row r="47" spans="1:13" x14ac:dyDescent="0.3">
      <c r="A47" s="144">
        <v>12</v>
      </c>
      <c r="B47" s="150" t="s">
        <v>60</v>
      </c>
      <c r="C47" s="151" t="e">
        <f t="shared" si="6"/>
        <v>#N/A</v>
      </c>
      <c r="D47" s="151" t="e">
        <f t="shared" si="7"/>
        <v>#N/A</v>
      </c>
      <c r="E47" s="151" t="e">
        <f t="shared" si="8"/>
        <v>#N/A</v>
      </c>
      <c r="F47" s="141" t="e">
        <f t="shared" si="9"/>
        <v>#N/A</v>
      </c>
      <c r="G47" s="136"/>
      <c r="H47" s="144">
        <v>12</v>
      </c>
      <c r="I47" s="150" t="s">
        <v>56</v>
      </c>
      <c r="J47" s="151" t="e">
        <f t="shared" si="10"/>
        <v>#N/A</v>
      </c>
      <c r="K47" s="151" t="e">
        <f t="shared" si="11"/>
        <v>#N/A</v>
      </c>
      <c r="L47" s="151" t="e">
        <f t="shared" si="12"/>
        <v>#N/A</v>
      </c>
      <c r="M47" s="141" t="e">
        <f t="shared" si="13"/>
        <v>#N/A</v>
      </c>
    </row>
    <row r="48" spans="1:13" x14ac:dyDescent="0.3">
      <c r="A48" s="144">
        <v>13</v>
      </c>
      <c r="B48" s="150" t="s">
        <v>56</v>
      </c>
      <c r="C48" s="151" t="e">
        <f t="shared" si="6"/>
        <v>#N/A</v>
      </c>
      <c r="D48" s="151" t="e">
        <f t="shared" si="7"/>
        <v>#N/A</v>
      </c>
      <c r="E48" s="151" t="e">
        <f t="shared" si="8"/>
        <v>#N/A</v>
      </c>
      <c r="F48" s="141" t="e">
        <f t="shared" si="9"/>
        <v>#N/A</v>
      </c>
      <c r="G48" s="136"/>
      <c r="H48" s="144">
        <v>13</v>
      </c>
      <c r="I48" s="150" t="s">
        <v>61</v>
      </c>
      <c r="J48" s="151" t="e">
        <f t="shared" si="10"/>
        <v>#N/A</v>
      </c>
      <c r="K48" s="151" t="e">
        <f t="shared" si="11"/>
        <v>#N/A</v>
      </c>
      <c r="L48" s="151" t="e">
        <f t="shared" si="12"/>
        <v>#N/A</v>
      </c>
      <c r="M48" s="141" t="e">
        <f t="shared" si="13"/>
        <v>#N/A</v>
      </c>
    </row>
    <row r="49" spans="1:13" x14ac:dyDescent="0.3">
      <c r="A49" s="144">
        <v>14</v>
      </c>
      <c r="B49" s="150" t="s">
        <v>61</v>
      </c>
      <c r="C49" s="151" t="e">
        <f t="shared" si="6"/>
        <v>#N/A</v>
      </c>
      <c r="D49" s="151" t="e">
        <f t="shared" si="7"/>
        <v>#N/A</v>
      </c>
      <c r="E49" s="151" t="e">
        <f t="shared" si="8"/>
        <v>#N/A</v>
      </c>
      <c r="F49" s="141" t="e">
        <f t="shared" si="9"/>
        <v>#N/A</v>
      </c>
      <c r="G49" s="136"/>
      <c r="H49" s="144">
        <v>14</v>
      </c>
      <c r="I49" s="150" t="s">
        <v>52</v>
      </c>
      <c r="J49" s="151" t="e">
        <f t="shared" si="10"/>
        <v>#N/A</v>
      </c>
      <c r="K49" s="151" t="e">
        <f t="shared" si="11"/>
        <v>#N/A</v>
      </c>
      <c r="L49" s="151" t="e">
        <f t="shared" si="12"/>
        <v>#N/A</v>
      </c>
      <c r="M49" s="141" t="e">
        <f t="shared" si="13"/>
        <v>#N/A</v>
      </c>
    </row>
    <row r="50" spans="1:13" x14ac:dyDescent="0.3">
      <c r="A50" s="144">
        <v>15</v>
      </c>
      <c r="B50" s="150" t="s">
        <v>52</v>
      </c>
      <c r="C50" s="151" t="e">
        <f t="shared" si="6"/>
        <v>#N/A</v>
      </c>
      <c r="D50" s="151" t="e">
        <f t="shared" si="7"/>
        <v>#N/A</v>
      </c>
      <c r="E50" s="151" t="e">
        <f t="shared" si="8"/>
        <v>#N/A</v>
      </c>
      <c r="F50" s="141" t="e">
        <f t="shared" si="9"/>
        <v>#N/A</v>
      </c>
      <c r="G50" s="136"/>
      <c r="H50" s="144">
        <v>15</v>
      </c>
      <c r="I50" s="150" t="s">
        <v>57</v>
      </c>
      <c r="J50" s="151" t="e">
        <f t="shared" si="10"/>
        <v>#N/A</v>
      </c>
      <c r="K50" s="151" t="e">
        <f t="shared" si="11"/>
        <v>#N/A</v>
      </c>
      <c r="L50" s="151" t="e">
        <f t="shared" si="12"/>
        <v>#N/A</v>
      </c>
      <c r="M50" s="141" t="e">
        <f t="shared" si="13"/>
        <v>#N/A</v>
      </c>
    </row>
    <row r="51" spans="1:13" x14ac:dyDescent="0.3">
      <c r="A51" s="144">
        <v>16</v>
      </c>
      <c r="B51" s="150" t="s">
        <v>57</v>
      </c>
      <c r="C51" s="151" t="e">
        <f t="shared" si="6"/>
        <v>#N/A</v>
      </c>
      <c r="D51" s="151" t="e">
        <f t="shared" si="7"/>
        <v>#N/A</v>
      </c>
      <c r="E51" s="151" t="e">
        <f t="shared" si="8"/>
        <v>#N/A</v>
      </c>
      <c r="F51" s="141" t="e">
        <f t="shared" si="9"/>
        <v>#N/A</v>
      </c>
      <c r="G51" s="136"/>
      <c r="H51" s="144">
        <v>16</v>
      </c>
      <c r="I51" s="150" t="s">
        <v>54</v>
      </c>
      <c r="J51" s="151" t="e">
        <f t="shared" si="10"/>
        <v>#N/A</v>
      </c>
      <c r="K51" s="151" t="e">
        <f t="shared" si="11"/>
        <v>#N/A</v>
      </c>
      <c r="L51" s="151" t="e">
        <f t="shared" si="12"/>
        <v>#N/A</v>
      </c>
      <c r="M51" s="141" t="e">
        <f t="shared" si="13"/>
        <v>#N/A</v>
      </c>
    </row>
    <row r="52" spans="1:13" x14ac:dyDescent="0.3">
      <c r="A52" s="144">
        <v>17</v>
      </c>
      <c r="B52" s="150" t="s">
        <v>54</v>
      </c>
      <c r="C52" s="151" t="e">
        <f t="shared" si="6"/>
        <v>#N/A</v>
      </c>
      <c r="D52" s="151" t="e">
        <f t="shared" si="7"/>
        <v>#N/A</v>
      </c>
      <c r="E52" s="151" t="e">
        <f t="shared" si="8"/>
        <v>#N/A</v>
      </c>
      <c r="F52" s="141" t="e">
        <f t="shared" si="9"/>
        <v>#N/A</v>
      </c>
      <c r="G52" s="136"/>
      <c r="H52" s="145">
        <v>17</v>
      </c>
      <c r="I52" s="153" t="s">
        <v>62</v>
      </c>
      <c r="J52" s="151" t="e">
        <f t="shared" si="10"/>
        <v>#N/A</v>
      </c>
      <c r="K52" s="151" t="e">
        <f t="shared" si="11"/>
        <v>#N/A</v>
      </c>
      <c r="L52" s="151" t="e">
        <f t="shared" si="12"/>
        <v>#N/A</v>
      </c>
      <c r="M52" s="141" t="e">
        <f t="shared" si="13"/>
        <v>#N/A</v>
      </c>
    </row>
    <row r="53" spans="1:13" x14ac:dyDescent="0.3">
      <c r="A53" s="145">
        <v>18</v>
      </c>
      <c r="B53" s="153" t="s">
        <v>62</v>
      </c>
      <c r="C53" s="154" t="e">
        <f t="shared" si="6"/>
        <v>#N/A</v>
      </c>
      <c r="D53" s="154" t="e">
        <f t="shared" si="7"/>
        <v>#N/A</v>
      </c>
      <c r="E53" s="154" t="e">
        <f t="shared" si="8"/>
        <v>#N/A</v>
      </c>
      <c r="F53" s="142" t="e">
        <f t="shared" si="9"/>
        <v>#N/A</v>
      </c>
      <c r="G53" s="136"/>
    </row>
    <row r="54" spans="1:13" x14ac:dyDescent="0.3">
      <c r="A54" s="136"/>
    </row>
    <row r="55" spans="1:13" s="42" customFormat="1" x14ac:dyDescent="0.3">
      <c r="B55" s="76"/>
      <c r="C55" s="53"/>
      <c r="D55" s="53"/>
      <c r="E55" s="77"/>
      <c r="F55" s="53"/>
    </row>
    <row r="56" spans="1:13" x14ac:dyDescent="0.3">
      <c r="B56" s="244" t="s">
        <v>73</v>
      </c>
      <c r="H56" s="135" t="s">
        <v>71</v>
      </c>
      <c r="I56" s="238"/>
      <c r="J56" s="46"/>
      <c r="K56" s="46"/>
      <c r="L56" s="46"/>
    </row>
    <row r="57" spans="1:13" x14ac:dyDescent="0.3">
      <c r="A57" s="143"/>
      <c r="B57" s="245"/>
      <c r="C57" s="139" t="s">
        <v>93</v>
      </c>
      <c r="D57" s="139" t="s">
        <v>94</v>
      </c>
      <c r="E57" s="139" t="s">
        <v>36</v>
      </c>
      <c r="F57" s="140" t="s">
        <v>182</v>
      </c>
      <c r="G57" s="157"/>
      <c r="H57" s="143"/>
      <c r="I57" s="139"/>
      <c r="J57" s="139" t="s">
        <v>93</v>
      </c>
      <c r="K57" s="139" t="s">
        <v>94</v>
      </c>
      <c r="L57" s="139" t="s">
        <v>36</v>
      </c>
      <c r="M57" s="140" t="s">
        <v>182</v>
      </c>
    </row>
    <row r="58" spans="1:13" x14ac:dyDescent="0.3">
      <c r="A58" s="144">
        <v>1</v>
      </c>
      <c r="B58" s="150" t="s">
        <v>157</v>
      </c>
      <c r="C58" s="146" t="e">
        <f t="shared" ref="C58:C75" si="14">IF(INDEX(Q4_Paeds,4+$A58,16)="No data",NA(),INDEX(Q4_Paeds,4+$A58,16))</f>
        <v>#N/A</v>
      </c>
      <c r="D58" s="146" t="e">
        <f t="shared" ref="D58:D75" si="15">IF(INDEX(Q4_Paeds,4+$A58,17)="No data",NA(),INDEX(Q4_Paeds,4+$A58,17))</f>
        <v>#N/A</v>
      </c>
      <c r="E58" s="146" t="e">
        <f t="shared" ref="E58:E75" si="16">IF(INDEX(Q4_Paeds,4+$A58,18)="No data",NA(),INDEX(Q4_Paeds,4+$A58,18))</f>
        <v>#N/A</v>
      </c>
      <c r="F58" s="141" t="e">
        <f t="shared" ref="F58:F75" si="17">SUM(C58:E58)</f>
        <v>#N/A</v>
      </c>
      <c r="G58" s="158"/>
      <c r="H58" s="144">
        <v>1</v>
      </c>
      <c r="I58" s="150" t="s">
        <v>157</v>
      </c>
      <c r="J58" s="151" t="e">
        <f t="shared" ref="J58:J74" si="18">IF(INDEX(Q4_Adult,4+$H58,16)="No data",NA(),INDEX(Q4_Adult,4+$H58,16))</f>
        <v>#N/A</v>
      </c>
      <c r="K58" s="151" t="e">
        <f t="shared" ref="K58:K74" si="19">IF(INDEX(Q4_Adult,4+$H58,17)="No data",NA(),INDEX(Q4_Adult,4+$H58,17))</f>
        <v>#N/A</v>
      </c>
      <c r="L58" s="151" t="e">
        <f t="shared" ref="L58:L74" si="20">IF(INDEX(Q4_Adult,4+$H58,18)="No data",NA(),INDEX(Q4_Adult,4+$H58,18))</f>
        <v>#N/A</v>
      </c>
      <c r="M58" s="141" t="e">
        <f t="shared" ref="M58:M74" si="21">SUM(J58:L58)</f>
        <v>#N/A</v>
      </c>
    </row>
    <row r="59" spans="1:13" x14ac:dyDescent="0.3">
      <c r="A59" s="144">
        <v>2</v>
      </c>
      <c r="B59" s="150" t="s">
        <v>158</v>
      </c>
      <c r="C59" s="146" t="e">
        <f t="shared" si="14"/>
        <v>#N/A</v>
      </c>
      <c r="D59" s="146" t="e">
        <f t="shared" si="15"/>
        <v>#N/A</v>
      </c>
      <c r="E59" s="146" t="e">
        <f t="shared" si="16"/>
        <v>#N/A</v>
      </c>
      <c r="F59" s="141" t="e">
        <f t="shared" si="17"/>
        <v>#N/A</v>
      </c>
      <c r="G59" s="158"/>
      <c r="H59" s="144">
        <v>2</v>
      </c>
      <c r="I59" s="150" t="s">
        <v>158</v>
      </c>
      <c r="J59" s="151" t="e">
        <f t="shared" si="18"/>
        <v>#N/A</v>
      </c>
      <c r="K59" s="151" t="e">
        <f t="shared" si="19"/>
        <v>#N/A</v>
      </c>
      <c r="L59" s="151" t="e">
        <f t="shared" si="20"/>
        <v>#N/A</v>
      </c>
      <c r="M59" s="141" t="e">
        <f t="shared" si="21"/>
        <v>#N/A</v>
      </c>
    </row>
    <row r="60" spans="1:13" x14ac:dyDescent="0.3">
      <c r="A60" s="144">
        <v>3</v>
      </c>
      <c r="B60" s="150" t="s">
        <v>159</v>
      </c>
      <c r="C60" s="146" t="e">
        <f t="shared" si="14"/>
        <v>#N/A</v>
      </c>
      <c r="D60" s="146" t="e">
        <f t="shared" si="15"/>
        <v>#N/A</v>
      </c>
      <c r="E60" s="146" t="e">
        <f t="shared" si="16"/>
        <v>#N/A</v>
      </c>
      <c r="F60" s="141" t="e">
        <f t="shared" si="17"/>
        <v>#N/A</v>
      </c>
      <c r="G60" s="158"/>
      <c r="H60" s="144">
        <v>3</v>
      </c>
      <c r="I60" s="150" t="s">
        <v>159</v>
      </c>
      <c r="J60" s="151" t="e">
        <f t="shared" si="18"/>
        <v>#N/A</v>
      </c>
      <c r="K60" s="151" t="e">
        <f t="shared" si="19"/>
        <v>#N/A</v>
      </c>
      <c r="L60" s="151" t="e">
        <f t="shared" si="20"/>
        <v>#N/A</v>
      </c>
      <c r="M60" s="141" t="e">
        <f t="shared" si="21"/>
        <v>#N/A</v>
      </c>
    </row>
    <row r="61" spans="1:13" x14ac:dyDescent="0.3">
      <c r="A61" s="144">
        <v>4</v>
      </c>
      <c r="B61" s="150" t="s">
        <v>160</v>
      </c>
      <c r="C61" s="146" t="e">
        <f t="shared" si="14"/>
        <v>#N/A</v>
      </c>
      <c r="D61" s="146" t="e">
        <f t="shared" si="15"/>
        <v>#N/A</v>
      </c>
      <c r="E61" s="146" t="e">
        <f t="shared" si="16"/>
        <v>#N/A</v>
      </c>
      <c r="F61" s="141" t="e">
        <f t="shared" si="17"/>
        <v>#N/A</v>
      </c>
      <c r="G61" s="158"/>
      <c r="H61" s="144">
        <v>4</v>
      </c>
      <c r="I61" s="150" t="s">
        <v>160</v>
      </c>
      <c r="J61" s="151" t="e">
        <f t="shared" si="18"/>
        <v>#N/A</v>
      </c>
      <c r="K61" s="151" t="e">
        <f t="shared" si="19"/>
        <v>#N/A</v>
      </c>
      <c r="L61" s="151" t="e">
        <f t="shared" si="20"/>
        <v>#N/A</v>
      </c>
      <c r="M61" s="141" t="e">
        <f t="shared" si="21"/>
        <v>#N/A</v>
      </c>
    </row>
    <row r="62" spans="1:13" x14ac:dyDescent="0.3">
      <c r="A62" s="144">
        <v>5</v>
      </c>
      <c r="B62" s="150" t="s">
        <v>161</v>
      </c>
      <c r="C62" s="146" t="e">
        <f t="shared" si="14"/>
        <v>#N/A</v>
      </c>
      <c r="D62" s="146" t="e">
        <f t="shared" si="15"/>
        <v>#N/A</v>
      </c>
      <c r="E62" s="146" t="e">
        <f t="shared" si="16"/>
        <v>#N/A</v>
      </c>
      <c r="F62" s="141" t="e">
        <f t="shared" si="17"/>
        <v>#N/A</v>
      </c>
      <c r="G62" s="158"/>
      <c r="H62" s="144">
        <v>5</v>
      </c>
      <c r="I62" s="150" t="s">
        <v>161</v>
      </c>
      <c r="J62" s="151" t="e">
        <f t="shared" si="18"/>
        <v>#N/A</v>
      </c>
      <c r="K62" s="151" t="e">
        <f t="shared" si="19"/>
        <v>#N/A</v>
      </c>
      <c r="L62" s="151" t="e">
        <f t="shared" si="20"/>
        <v>#N/A</v>
      </c>
      <c r="M62" s="141" t="e">
        <f t="shared" si="21"/>
        <v>#N/A</v>
      </c>
    </row>
    <row r="63" spans="1:13" x14ac:dyDescent="0.3">
      <c r="A63" s="144">
        <v>6</v>
      </c>
      <c r="B63" s="150" t="s">
        <v>165</v>
      </c>
      <c r="C63" s="146" t="e">
        <f t="shared" si="14"/>
        <v>#N/A</v>
      </c>
      <c r="D63" s="146" t="e">
        <f t="shared" si="15"/>
        <v>#N/A</v>
      </c>
      <c r="E63" s="146" t="e">
        <f t="shared" si="16"/>
        <v>#N/A</v>
      </c>
      <c r="F63" s="141" t="e">
        <f t="shared" si="17"/>
        <v>#N/A</v>
      </c>
      <c r="G63" s="158"/>
      <c r="H63" s="144">
        <v>6</v>
      </c>
      <c r="I63" s="150" t="s">
        <v>165</v>
      </c>
      <c r="J63" s="151" t="e">
        <f t="shared" si="18"/>
        <v>#N/A</v>
      </c>
      <c r="K63" s="151" t="e">
        <f t="shared" si="19"/>
        <v>#N/A</v>
      </c>
      <c r="L63" s="151" t="e">
        <f t="shared" si="20"/>
        <v>#N/A</v>
      </c>
      <c r="M63" s="141" t="e">
        <f t="shared" si="21"/>
        <v>#N/A</v>
      </c>
    </row>
    <row r="64" spans="1:13" x14ac:dyDescent="0.3">
      <c r="A64" s="144">
        <v>7</v>
      </c>
      <c r="B64" s="150" t="s">
        <v>166</v>
      </c>
      <c r="C64" s="146" t="e">
        <f t="shared" si="14"/>
        <v>#N/A</v>
      </c>
      <c r="D64" s="146" t="e">
        <f t="shared" si="15"/>
        <v>#N/A</v>
      </c>
      <c r="E64" s="146" t="e">
        <f t="shared" si="16"/>
        <v>#N/A</v>
      </c>
      <c r="F64" s="141" t="e">
        <f t="shared" si="17"/>
        <v>#N/A</v>
      </c>
      <c r="G64" s="158"/>
      <c r="H64" s="144">
        <v>7</v>
      </c>
      <c r="I64" s="150" t="s">
        <v>166</v>
      </c>
      <c r="J64" s="151" t="e">
        <f t="shared" si="18"/>
        <v>#N/A</v>
      </c>
      <c r="K64" s="151" t="e">
        <f t="shared" si="19"/>
        <v>#N/A</v>
      </c>
      <c r="L64" s="151" t="e">
        <f t="shared" si="20"/>
        <v>#N/A</v>
      </c>
      <c r="M64" s="141" t="e">
        <f t="shared" si="21"/>
        <v>#N/A</v>
      </c>
    </row>
    <row r="65" spans="1:15" x14ac:dyDescent="0.3">
      <c r="A65" s="144">
        <v>8</v>
      </c>
      <c r="B65" s="150" t="s">
        <v>162</v>
      </c>
      <c r="C65" s="146" t="e">
        <f t="shared" si="14"/>
        <v>#N/A</v>
      </c>
      <c r="D65" s="146" t="e">
        <f t="shared" si="15"/>
        <v>#N/A</v>
      </c>
      <c r="E65" s="146" t="e">
        <f t="shared" si="16"/>
        <v>#N/A</v>
      </c>
      <c r="F65" s="141" t="e">
        <f t="shared" si="17"/>
        <v>#N/A</v>
      </c>
      <c r="G65" s="158"/>
      <c r="H65" s="144">
        <v>8</v>
      </c>
      <c r="I65" s="150" t="s">
        <v>162</v>
      </c>
      <c r="J65" s="151" t="e">
        <f t="shared" si="18"/>
        <v>#N/A</v>
      </c>
      <c r="K65" s="151" t="e">
        <f t="shared" si="19"/>
        <v>#N/A</v>
      </c>
      <c r="L65" s="151" t="e">
        <f t="shared" si="20"/>
        <v>#N/A</v>
      </c>
      <c r="M65" s="141" t="e">
        <f t="shared" si="21"/>
        <v>#N/A</v>
      </c>
    </row>
    <row r="66" spans="1:15" x14ac:dyDescent="0.3">
      <c r="A66" s="144">
        <v>9</v>
      </c>
      <c r="B66" s="150" t="s">
        <v>58</v>
      </c>
      <c r="C66" s="146" t="e">
        <f t="shared" si="14"/>
        <v>#N/A</v>
      </c>
      <c r="D66" s="146" t="e">
        <f t="shared" si="15"/>
        <v>#N/A</v>
      </c>
      <c r="E66" s="146" t="e">
        <f t="shared" si="16"/>
        <v>#N/A</v>
      </c>
      <c r="F66" s="141" t="e">
        <f t="shared" si="17"/>
        <v>#N/A</v>
      </c>
      <c r="G66" s="158"/>
      <c r="H66" s="144">
        <v>9</v>
      </c>
      <c r="I66" s="150" t="s">
        <v>58</v>
      </c>
      <c r="J66" s="151" t="e">
        <f t="shared" si="18"/>
        <v>#N/A</v>
      </c>
      <c r="K66" s="151" t="e">
        <f t="shared" si="19"/>
        <v>#N/A</v>
      </c>
      <c r="L66" s="151" t="e">
        <f t="shared" si="20"/>
        <v>#N/A</v>
      </c>
      <c r="M66" s="141" t="e">
        <f t="shared" si="21"/>
        <v>#N/A</v>
      </c>
    </row>
    <row r="67" spans="1:15" x14ac:dyDescent="0.3">
      <c r="A67" s="144">
        <v>10</v>
      </c>
      <c r="B67" s="150" t="s">
        <v>59</v>
      </c>
      <c r="C67" s="146" t="e">
        <f t="shared" si="14"/>
        <v>#N/A</v>
      </c>
      <c r="D67" s="146" t="e">
        <f t="shared" si="15"/>
        <v>#N/A</v>
      </c>
      <c r="E67" s="146" t="e">
        <f t="shared" si="16"/>
        <v>#N/A</v>
      </c>
      <c r="F67" s="141" t="e">
        <f t="shared" si="17"/>
        <v>#N/A</v>
      </c>
      <c r="G67" s="158"/>
      <c r="H67" s="144">
        <v>10</v>
      </c>
      <c r="I67" s="150" t="s">
        <v>164</v>
      </c>
      <c r="J67" s="151" t="e">
        <f t="shared" si="18"/>
        <v>#N/A</v>
      </c>
      <c r="K67" s="151" t="e">
        <f t="shared" si="19"/>
        <v>#N/A</v>
      </c>
      <c r="L67" s="151" t="e">
        <f t="shared" si="20"/>
        <v>#N/A</v>
      </c>
      <c r="M67" s="141" t="e">
        <f t="shared" si="21"/>
        <v>#N/A</v>
      </c>
    </row>
    <row r="68" spans="1:15" x14ac:dyDescent="0.3">
      <c r="A68" s="144">
        <v>11</v>
      </c>
      <c r="B68" s="150" t="s">
        <v>164</v>
      </c>
      <c r="C68" s="146" t="e">
        <f t="shared" si="14"/>
        <v>#N/A</v>
      </c>
      <c r="D68" s="146" t="e">
        <f t="shared" si="15"/>
        <v>#N/A</v>
      </c>
      <c r="E68" s="146" t="e">
        <f t="shared" si="16"/>
        <v>#N/A</v>
      </c>
      <c r="F68" s="141" t="e">
        <f t="shared" si="17"/>
        <v>#N/A</v>
      </c>
      <c r="G68" s="158"/>
      <c r="H68" s="144">
        <v>11</v>
      </c>
      <c r="I68" s="150" t="s">
        <v>60</v>
      </c>
      <c r="J68" s="151" t="e">
        <f t="shared" si="18"/>
        <v>#N/A</v>
      </c>
      <c r="K68" s="151" t="e">
        <f t="shared" si="19"/>
        <v>#N/A</v>
      </c>
      <c r="L68" s="151" t="e">
        <f t="shared" si="20"/>
        <v>#N/A</v>
      </c>
      <c r="M68" s="141" t="e">
        <f t="shared" si="21"/>
        <v>#N/A</v>
      </c>
    </row>
    <row r="69" spans="1:15" x14ac:dyDescent="0.3">
      <c r="A69" s="144">
        <v>12</v>
      </c>
      <c r="B69" s="150" t="s">
        <v>60</v>
      </c>
      <c r="C69" s="146" t="e">
        <f t="shared" si="14"/>
        <v>#N/A</v>
      </c>
      <c r="D69" s="146" t="e">
        <f t="shared" si="15"/>
        <v>#N/A</v>
      </c>
      <c r="E69" s="146" t="e">
        <f t="shared" si="16"/>
        <v>#N/A</v>
      </c>
      <c r="F69" s="141" t="e">
        <f t="shared" si="17"/>
        <v>#N/A</v>
      </c>
      <c r="G69" s="158"/>
      <c r="H69" s="144">
        <v>12</v>
      </c>
      <c r="I69" s="150" t="s">
        <v>56</v>
      </c>
      <c r="J69" s="151" t="e">
        <f t="shared" si="18"/>
        <v>#N/A</v>
      </c>
      <c r="K69" s="151" t="e">
        <f t="shared" si="19"/>
        <v>#N/A</v>
      </c>
      <c r="L69" s="151" t="e">
        <f t="shared" si="20"/>
        <v>#N/A</v>
      </c>
      <c r="M69" s="141" t="e">
        <f t="shared" si="21"/>
        <v>#N/A</v>
      </c>
    </row>
    <row r="70" spans="1:15" x14ac:dyDescent="0.3">
      <c r="A70" s="144">
        <v>13</v>
      </c>
      <c r="B70" s="150" t="s">
        <v>56</v>
      </c>
      <c r="C70" s="146" t="e">
        <f t="shared" si="14"/>
        <v>#N/A</v>
      </c>
      <c r="D70" s="146" t="e">
        <f t="shared" si="15"/>
        <v>#N/A</v>
      </c>
      <c r="E70" s="146" t="e">
        <f t="shared" si="16"/>
        <v>#N/A</v>
      </c>
      <c r="F70" s="141" t="e">
        <f t="shared" si="17"/>
        <v>#N/A</v>
      </c>
      <c r="G70" s="158"/>
      <c r="H70" s="144">
        <v>13</v>
      </c>
      <c r="I70" s="150" t="s">
        <v>61</v>
      </c>
      <c r="J70" s="151" t="e">
        <f t="shared" si="18"/>
        <v>#N/A</v>
      </c>
      <c r="K70" s="151" t="e">
        <f t="shared" si="19"/>
        <v>#N/A</v>
      </c>
      <c r="L70" s="151" t="e">
        <f t="shared" si="20"/>
        <v>#N/A</v>
      </c>
      <c r="M70" s="141" t="e">
        <f t="shared" si="21"/>
        <v>#N/A</v>
      </c>
    </row>
    <row r="71" spans="1:15" x14ac:dyDescent="0.3">
      <c r="A71" s="144">
        <v>14</v>
      </c>
      <c r="B71" s="150" t="s">
        <v>61</v>
      </c>
      <c r="C71" s="146" t="e">
        <f t="shared" si="14"/>
        <v>#N/A</v>
      </c>
      <c r="D71" s="146" t="e">
        <f t="shared" si="15"/>
        <v>#N/A</v>
      </c>
      <c r="E71" s="146" t="e">
        <f t="shared" si="16"/>
        <v>#N/A</v>
      </c>
      <c r="F71" s="141" t="e">
        <f t="shared" si="17"/>
        <v>#N/A</v>
      </c>
      <c r="G71" s="158"/>
      <c r="H71" s="144">
        <v>14</v>
      </c>
      <c r="I71" s="150" t="s">
        <v>52</v>
      </c>
      <c r="J71" s="151" t="e">
        <f t="shared" si="18"/>
        <v>#N/A</v>
      </c>
      <c r="K71" s="151" t="e">
        <f t="shared" si="19"/>
        <v>#N/A</v>
      </c>
      <c r="L71" s="151" t="e">
        <f t="shared" si="20"/>
        <v>#N/A</v>
      </c>
      <c r="M71" s="141" t="e">
        <f t="shared" si="21"/>
        <v>#N/A</v>
      </c>
    </row>
    <row r="72" spans="1:15" x14ac:dyDescent="0.3">
      <c r="A72" s="144">
        <v>15</v>
      </c>
      <c r="B72" s="150" t="s">
        <v>52</v>
      </c>
      <c r="C72" s="146" t="e">
        <f t="shared" si="14"/>
        <v>#N/A</v>
      </c>
      <c r="D72" s="146" t="e">
        <f t="shared" si="15"/>
        <v>#N/A</v>
      </c>
      <c r="E72" s="146" t="e">
        <f t="shared" si="16"/>
        <v>#N/A</v>
      </c>
      <c r="F72" s="141" t="e">
        <f t="shared" si="17"/>
        <v>#N/A</v>
      </c>
      <c r="G72" s="158"/>
      <c r="H72" s="144">
        <v>15</v>
      </c>
      <c r="I72" s="150" t="s">
        <v>57</v>
      </c>
      <c r="J72" s="151" t="e">
        <f t="shared" si="18"/>
        <v>#N/A</v>
      </c>
      <c r="K72" s="151" t="e">
        <f t="shared" si="19"/>
        <v>#N/A</v>
      </c>
      <c r="L72" s="151" t="e">
        <f t="shared" si="20"/>
        <v>#N/A</v>
      </c>
      <c r="M72" s="141" t="e">
        <f t="shared" si="21"/>
        <v>#N/A</v>
      </c>
    </row>
    <row r="73" spans="1:15" x14ac:dyDescent="0.3">
      <c r="A73" s="144">
        <v>16</v>
      </c>
      <c r="B73" s="150" t="s">
        <v>57</v>
      </c>
      <c r="C73" s="146" t="e">
        <f t="shared" si="14"/>
        <v>#N/A</v>
      </c>
      <c r="D73" s="146" t="e">
        <f t="shared" si="15"/>
        <v>#N/A</v>
      </c>
      <c r="E73" s="146" t="e">
        <f t="shared" si="16"/>
        <v>#N/A</v>
      </c>
      <c r="F73" s="141" t="e">
        <f t="shared" si="17"/>
        <v>#N/A</v>
      </c>
      <c r="G73" s="158"/>
      <c r="H73" s="144">
        <v>16</v>
      </c>
      <c r="I73" s="150" t="s">
        <v>54</v>
      </c>
      <c r="J73" s="151" t="e">
        <f t="shared" si="18"/>
        <v>#N/A</v>
      </c>
      <c r="K73" s="151" t="e">
        <f t="shared" si="19"/>
        <v>#N/A</v>
      </c>
      <c r="L73" s="151" t="e">
        <f t="shared" si="20"/>
        <v>#N/A</v>
      </c>
      <c r="M73" s="141" t="e">
        <f t="shared" si="21"/>
        <v>#N/A</v>
      </c>
    </row>
    <row r="74" spans="1:15" x14ac:dyDescent="0.3">
      <c r="A74" s="144">
        <v>17</v>
      </c>
      <c r="B74" s="150" t="s">
        <v>54</v>
      </c>
      <c r="C74" s="146" t="e">
        <f t="shared" si="14"/>
        <v>#N/A</v>
      </c>
      <c r="D74" s="146" t="e">
        <f t="shared" si="15"/>
        <v>#N/A</v>
      </c>
      <c r="E74" s="146" t="e">
        <f t="shared" si="16"/>
        <v>#N/A</v>
      </c>
      <c r="F74" s="141" t="e">
        <f t="shared" si="17"/>
        <v>#N/A</v>
      </c>
      <c r="G74" s="158"/>
      <c r="H74" s="145">
        <v>17</v>
      </c>
      <c r="I74" s="153" t="s">
        <v>62</v>
      </c>
      <c r="J74" s="151" t="e">
        <f t="shared" si="18"/>
        <v>#N/A</v>
      </c>
      <c r="K74" s="151" t="e">
        <f t="shared" si="19"/>
        <v>#N/A</v>
      </c>
      <c r="L74" s="151" t="e">
        <f t="shared" si="20"/>
        <v>#N/A</v>
      </c>
      <c r="M74" s="141" t="e">
        <f t="shared" si="21"/>
        <v>#N/A</v>
      </c>
    </row>
    <row r="75" spans="1:15" x14ac:dyDescent="0.3">
      <c r="A75" s="145">
        <v>18</v>
      </c>
      <c r="B75" s="153" t="s">
        <v>62</v>
      </c>
      <c r="C75" s="147" t="e">
        <f t="shared" si="14"/>
        <v>#N/A</v>
      </c>
      <c r="D75" s="147" t="e">
        <f t="shared" si="15"/>
        <v>#N/A</v>
      </c>
      <c r="E75" s="147" t="e">
        <f t="shared" si="16"/>
        <v>#N/A</v>
      </c>
      <c r="F75" s="142" t="e">
        <f t="shared" si="17"/>
        <v>#N/A</v>
      </c>
      <c r="G75" s="158"/>
    </row>
    <row r="77" spans="1:15" s="103" customFormat="1" ht="18" x14ac:dyDescent="0.35">
      <c r="B77" s="103" t="s">
        <v>108</v>
      </c>
    </row>
    <row r="78" spans="1:15" s="104" customFormat="1" ht="43.5" customHeight="1" x14ac:dyDescent="0.4">
      <c r="B78" s="105" t="s">
        <v>186</v>
      </c>
    </row>
    <row r="79" spans="1:15" x14ac:dyDescent="0.3">
      <c r="A79" s="42"/>
      <c r="B79" s="135" t="s">
        <v>74</v>
      </c>
      <c r="C79" s="42"/>
      <c r="D79" s="42"/>
      <c r="E79" s="135" t="s">
        <v>146</v>
      </c>
      <c r="F79" s="135"/>
      <c r="I79" s="34" t="s">
        <v>143</v>
      </c>
      <c r="M79" s="34" t="s">
        <v>143</v>
      </c>
    </row>
    <row r="80" spans="1:15" x14ac:dyDescent="0.3">
      <c r="A80" s="143"/>
      <c r="B80" s="139"/>
      <c r="C80" s="140" t="str">
        <f>Data!U29</f>
        <v>Local consultant</v>
      </c>
      <c r="D80" s="157"/>
      <c r="E80" s="143"/>
      <c r="F80" s="139"/>
      <c r="G80" s="140" t="str">
        <f>Data!V29</f>
        <v>Visiting consultant</v>
      </c>
      <c r="H80" s="157"/>
      <c r="I80" s="143"/>
      <c r="J80" s="139"/>
      <c r="K80" s="140" t="str">
        <f>Data!U5</f>
        <v>Local consultant</v>
      </c>
      <c r="L80" s="157"/>
      <c r="M80" s="143"/>
      <c r="N80" s="139"/>
      <c r="O80" s="140" t="str">
        <f>Data!V5</f>
        <v>Visiting consultant</v>
      </c>
    </row>
    <row r="81" spans="1:15" x14ac:dyDescent="0.3">
      <c r="A81" s="144">
        <v>1</v>
      </c>
      <c r="B81" s="150" t="s">
        <v>157</v>
      </c>
      <c r="C81" s="159" t="e">
        <f t="shared" ref="C81:C98" si="22">IF(INDEX(Q4_Paeds,4+$A81,21)="No data",NA(),INDEX(Q4_Paeds,4+$A81,21))</f>
        <v>#N/A</v>
      </c>
      <c r="D81" s="161"/>
      <c r="E81" s="144">
        <v>1</v>
      </c>
      <c r="F81" s="150" t="s">
        <v>157</v>
      </c>
      <c r="G81" s="159" t="e">
        <f t="shared" ref="G81:G98" si="23">IF(INDEX(Q4_Paeds,4+$E81,22)="No data",NA(),INDEX(Q4_Paeds,4+$E81,22))</f>
        <v>#N/A</v>
      </c>
      <c r="H81" s="161"/>
      <c r="I81" s="144">
        <v>1</v>
      </c>
      <c r="J81" s="150" t="s">
        <v>157</v>
      </c>
      <c r="K81" s="159" t="e">
        <f t="shared" ref="K81:K97" si="24">IF(INDEX(Q4_Adult,4+$I81,21)="No data",NA(),INDEX(Q4_Adult,4+$I81,21))</f>
        <v>#N/A</v>
      </c>
      <c r="L81" s="161"/>
      <c r="M81" s="144">
        <v>1</v>
      </c>
      <c r="N81" s="150" t="s">
        <v>157</v>
      </c>
      <c r="O81" s="159" t="e">
        <f t="shared" ref="O81:O97" si="25">IF(INDEX(Q4_Adult,4+$M81,22)="No data",NA(),INDEX(Q4_Adult,4+$M81,22))</f>
        <v>#N/A</v>
      </c>
    </row>
    <row r="82" spans="1:15" x14ac:dyDescent="0.3">
      <c r="A82" s="144">
        <v>2</v>
      </c>
      <c r="B82" s="150" t="s">
        <v>158</v>
      </c>
      <c r="C82" s="159" t="e">
        <f t="shared" si="22"/>
        <v>#N/A</v>
      </c>
      <c r="D82" s="161"/>
      <c r="E82" s="144">
        <v>2</v>
      </c>
      <c r="F82" s="150" t="s">
        <v>158</v>
      </c>
      <c r="G82" s="159" t="e">
        <f t="shared" si="23"/>
        <v>#N/A</v>
      </c>
      <c r="H82" s="161"/>
      <c r="I82" s="144">
        <v>2</v>
      </c>
      <c r="J82" s="150" t="s">
        <v>158</v>
      </c>
      <c r="K82" s="159" t="e">
        <f t="shared" si="24"/>
        <v>#N/A</v>
      </c>
      <c r="L82" s="161"/>
      <c r="M82" s="144">
        <v>2</v>
      </c>
      <c r="N82" s="150" t="s">
        <v>158</v>
      </c>
      <c r="O82" s="159" t="e">
        <f t="shared" si="25"/>
        <v>#N/A</v>
      </c>
    </row>
    <row r="83" spans="1:15" x14ac:dyDescent="0.3">
      <c r="A83" s="144">
        <v>3</v>
      </c>
      <c r="B83" s="150" t="s">
        <v>159</v>
      </c>
      <c r="C83" s="159" t="e">
        <f t="shared" si="22"/>
        <v>#N/A</v>
      </c>
      <c r="D83" s="161"/>
      <c r="E83" s="144">
        <v>3</v>
      </c>
      <c r="F83" s="150" t="s">
        <v>159</v>
      </c>
      <c r="G83" s="159" t="e">
        <f t="shared" si="23"/>
        <v>#N/A</v>
      </c>
      <c r="H83" s="161"/>
      <c r="I83" s="144">
        <v>3</v>
      </c>
      <c r="J83" s="150" t="s">
        <v>159</v>
      </c>
      <c r="K83" s="159" t="e">
        <f t="shared" si="24"/>
        <v>#N/A</v>
      </c>
      <c r="L83" s="161"/>
      <c r="M83" s="144">
        <v>3</v>
      </c>
      <c r="N83" s="150" t="s">
        <v>159</v>
      </c>
      <c r="O83" s="159" t="e">
        <f t="shared" si="25"/>
        <v>#N/A</v>
      </c>
    </row>
    <row r="84" spans="1:15" x14ac:dyDescent="0.3">
      <c r="A84" s="144">
        <v>4</v>
      </c>
      <c r="B84" s="150" t="s">
        <v>160</v>
      </c>
      <c r="C84" s="159" t="e">
        <f t="shared" si="22"/>
        <v>#N/A</v>
      </c>
      <c r="D84" s="161"/>
      <c r="E84" s="144">
        <v>4</v>
      </c>
      <c r="F84" s="150" t="s">
        <v>160</v>
      </c>
      <c r="G84" s="159" t="e">
        <f t="shared" si="23"/>
        <v>#N/A</v>
      </c>
      <c r="H84" s="161"/>
      <c r="I84" s="144">
        <v>4</v>
      </c>
      <c r="J84" s="150" t="s">
        <v>160</v>
      </c>
      <c r="K84" s="159" t="e">
        <f t="shared" si="24"/>
        <v>#N/A</v>
      </c>
      <c r="L84" s="161"/>
      <c r="M84" s="144">
        <v>4</v>
      </c>
      <c r="N84" s="150" t="s">
        <v>160</v>
      </c>
      <c r="O84" s="159" t="e">
        <f t="shared" si="25"/>
        <v>#N/A</v>
      </c>
    </row>
    <row r="85" spans="1:15" x14ac:dyDescent="0.3">
      <c r="A85" s="144">
        <v>5</v>
      </c>
      <c r="B85" s="150" t="s">
        <v>161</v>
      </c>
      <c r="C85" s="159" t="e">
        <f t="shared" si="22"/>
        <v>#N/A</v>
      </c>
      <c r="D85" s="161"/>
      <c r="E85" s="144">
        <v>5</v>
      </c>
      <c r="F85" s="150" t="s">
        <v>161</v>
      </c>
      <c r="G85" s="159" t="e">
        <f t="shared" si="23"/>
        <v>#N/A</v>
      </c>
      <c r="H85" s="161"/>
      <c r="I85" s="144">
        <v>5</v>
      </c>
      <c r="J85" s="150" t="s">
        <v>161</v>
      </c>
      <c r="K85" s="159" t="e">
        <f t="shared" si="24"/>
        <v>#N/A</v>
      </c>
      <c r="L85" s="161"/>
      <c r="M85" s="144">
        <v>5</v>
      </c>
      <c r="N85" s="150" t="s">
        <v>161</v>
      </c>
      <c r="O85" s="159" t="e">
        <f t="shared" si="25"/>
        <v>#N/A</v>
      </c>
    </row>
    <row r="86" spans="1:15" x14ac:dyDescent="0.3">
      <c r="A86" s="144">
        <v>6</v>
      </c>
      <c r="B86" s="150" t="s">
        <v>165</v>
      </c>
      <c r="C86" s="159" t="e">
        <f t="shared" si="22"/>
        <v>#N/A</v>
      </c>
      <c r="D86" s="161"/>
      <c r="E86" s="144">
        <v>6</v>
      </c>
      <c r="F86" s="150" t="s">
        <v>165</v>
      </c>
      <c r="G86" s="159" t="e">
        <f t="shared" si="23"/>
        <v>#N/A</v>
      </c>
      <c r="H86" s="161"/>
      <c r="I86" s="144">
        <v>6</v>
      </c>
      <c r="J86" s="150" t="s">
        <v>165</v>
      </c>
      <c r="K86" s="159" t="e">
        <f t="shared" si="24"/>
        <v>#N/A</v>
      </c>
      <c r="L86" s="161"/>
      <c r="M86" s="144">
        <v>6</v>
      </c>
      <c r="N86" s="150" t="s">
        <v>165</v>
      </c>
      <c r="O86" s="159" t="e">
        <f t="shared" si="25"/>
        <v>#N/A</v>
      </c>
    </row>
    <row r="87" spans="1:15" x14ac:dyDescent="0.3">
      <c r="A87" s="144">
        <v>7</v>
      </c>
      <c r="B87" s="150" t="s">
        <v>166</v>
      </c>
      <c r="C87" s="159" t="e">
        <f t="shared" si="22"/>
        <v>#N/A</v>
      </c>
      <c r="D87" s="161"/>
      <c r="E87" s="144">
        <v>7</v>
      </c>
      <c r="F87" s="150" t="s">
        <v>166</v>
      </c>
      <c r="G87" s="159" t="e">
        <f t="shared" si="23"/>
        <v>#N/A</v>
      </c>
      <c r="H87" s="161"/>
      <c r="I87" s="144">
        <v>7</v>
      </c>
      <c r="J87" s="150" t="s">
        <v>166</v>
      </c>
      <c r="K87" s="159" t="e">
        <f t="shared" si="24"/>
        <v>#N/A</v>
      </c>
      <c r="L87" s="161"/>
      <c r="M87" s="144">
        <v>7</v>
      </c>
      <c r="N87" s="150" t="s">
        <v>166</v>
      </c>
      <c r="O87" s="159" t="e">
        <f t="shared" si="25"/>
        <v>#N/A</v>
      </c>
    </row>
    <row r="88" spans="1:15" x14ac:dyDescent="0.3">
      <c r="A88" s="144">
        <v>8</v>
      </c>
      <c r="B88" s="150" t="s">
        <v>162</v>
      </c>
      <c r="C88" s="159" t="e">
        <f t="shared" si="22"/>
        <v>#N/A</v>
      </c>
      <c r="D88" s="161"/>
      <c r="E88" s="144">
        <v>8</v>
      </c>
      <c r="F88" s="150" t="s">
        <v>162</v>
      </c>
      <c r="G88" s="159" t="e">
        <f t="shared" si="23"/>
        <v>#N/A</v>
      </c>
      <c r="H88" s="161"/>
      <c r="I88" s="144">
        <v>8</v>
      </c>
      <c r="J88" s="150" t="s">
        <v>162</v>
      </c>
      <c r="K88" s="159" t="e">
        <f t="shared" si="24"/>
        <v>#N/A</v>
      </c>
      <c r="L88" s="161"/>
      <c r="M88" s="144">
        <v>8</v>
      </c>
      <c r="N88" s="150" t="s">
        <v>162</v>
      </c>
      <c r="O88" s="159" t="e">
        <f t="shared" si="25"/>
        <v>#N/A</v>
      </c>
    </row>
    <row r="89" spans="1:15" x14ac:dyDescent="0.3">
      <c r="A89" s="144">
        <v>9</v>
      </c>
      <c r="B89" s="150" t="s">
        <v>58</v>
      </c>
      <c r="C89" s="159" t="e">
        <f t="shared" si="22"/>
        <v>#N/A</v>
      </c>
      <c r="D89" s="161"/>
      <c r="E89" s="144">
        <v>9</v>
      </c>
      <c r="F89" s="150" t="s">
        <v>58</v>
      </c>
      <c r="G89" s="159" t="e">
        <f t="shared" si="23"/>
        <v>#N/A</v>
      </c>
      <c r="H89" s="161"/>
      <c r="I89" s="144">
        <v>9</v>
      </c>
      <c r="J89" s="150" t="s">
        <v>58</v>
      </c>
      <c r="K89" s="159" t="e">
        <f t="shared" si="24"/>
        <v>#N/A</v>
      </c>
      <c r="L89" s="161"/>
      <c r="M89" s="144">
        <v>9</v>
      </c>
      <c r="N89" s="150" t="s">
        <v>58</v>
      </c>
      <c r="O89" s="159" t="e">
        <f t="shared" si="25"/>
        <v>#N/A</v>
      </c>
    </row>
    <row r="90" spans="1:15" x14ac:dyDescent="0.3">
      <c r="A90" s="144">
        <v>10</v>
      </c>
      <c r="B90" s="150" t="s">
        <v>59</v>
      </c>
      <c r="C90" s="159" t="e">
        <f t="shared" si="22"/>
        <v>#N/A</v>
      </c>
      <c r="D90" s="161"/>
      <c r="E90" s="144">
        <v>10</v>
      </c>
      <c r="F90" s="150" t="s">
        <v>59</v>
      </c>
      <c r="G90" s="159" t="e">
        <f t="shared" si="23"/>
        <v>#N/A</v>
      </c>
      <c r="H90" s="161"/>
      <c r="I90" s="144">
        <v>10</v>
      </c>
      <c r="J90" s="150" t="s">
        <v>164</v>
      </c>
      <c r="K90" s="159" t="e">
        <f t="shared" si="24"/>
        <v>#N/A</v>
      </c>
      <c r="L90" s="161"/>
      <c r="M90" s="144">
        <v>10</v>
      </c>
      <c r="N90" s="150" t="s">
        <v>164</v>
      </c>
      <c r="O90" s="159" t="e">
        <f t="shared" si="25"/>
        <v>#N/A</v>
      </c>
    </row>
    <row r="91" spans="1:15" x14ac:dyDescent="0.3">
      <c r="A91" s="144">
        <v>11</v>
      </c>
      <c r="B91" s="150" t="s">
        <v>164</v>
      </c>
      <c r="C91" s="159" t="e">
        <f t="shared" si="22"/>
        <v>#N/A</v>
      </c>
      <c r="D91" s="161"/>
      <c r="E91" s="144">
        <v>11</v>
      </c>
      <c r="F91" s="150" t="s">
        <v>164</v>
      </c>
      <c r="G91" s="159" t="e">
        <f t="shared" si="23"/>
        <v>#N/A</v>
      </c>
      <c r="H91" s="161"/>
      <c r="I91" s="144">
        <v>11</v>
      </c>
      <c r="J91" s="150" t="s">
        <v>60</v>
      </c>
      <c r="K91" s="159" t="e">
        <f t="shared" si="24"/>
        <v>#N/A</v>
      </c>
      <c r="L91" s="161"/>
      <c r="M91" s="144">
        <v>11</v>
      </c>
      <c r="N91" s="150" t="s">
        <v>60</v>
      </c>
      <c r="O91" s="159" t="e">
        <f t="shared" si="25"/>
        <v>#N/A</v>
      </c>
    </row>
    <row r="92" spans="1:15" x14ac:dyDescent="0.3">
      <c r="A92" s="144">
        <v>12</v>
      </c>
      <c r="B92" s="150" t="s">
        <v>60</v>
      </c>
      <c r="C92" s="159" t="e">
        <f t="shared" si="22"/>
        <v>#N/A</v>
      </c>
      <c r="D92" s="161"/>
      <c r="E92" s="144">
        <v>12</v>
      </c>
      <c r="F92" s="150" t="s">
        <v>60</v>
      </c>
      <c r="G92" s="159" t="e">
        <f t="shared" si="23"/>
        <v>#N/A</v>
      </c>
      <c r="H92" s="161"/>
      <c r="I92" s="144">
        <v>12</v>
      </c>
      <c r="J92" s="150" t="s">
        <v>56</v>
      </c>
      <c r="K92" s="159" t="e">
        <f t="shared" si="24"/>
        <v>#N/A</v>
      </c>
      <c r="L92" s="161"/>
      <c r="M92" s="144">
        <v>12</v>
      </c>
      <c r="N92" s="150" t="s">
        <v>56</v>
      </c>
      <c r="O92" s="159" t="e">
        <f t="shared" si="25"/>
        <v>#N/A</v>
      </c>
    </row>
    <row r="93" spans="1:15" x14ac:dyDescent="0.3">
      <c r="A93" s="144">
        <v>13</v>
      </c>
      <c r="B93" s="150" t="s">
        <v>56</v>
      </c>
      <c r="C93" s="159" t="e">
        <f t="shared" si="22"/>
        <v>#N/A</v>
      </c>
      <c r="D93" s="161"/>
      <c r="E93" s="144">
        <v>13</v>
      </c>
      <c r="F93" s="150" t="s">
        <v>56</v>
      </c>
      <c r="G93" s="159" t="e">
        <f t="shared" si="23"/>
        <v>#N/A</v>
      </c>
      <c r="H93" s="161"/>
      <c r="I93" s="144">
        <v>13</v>
      </c>
      <c r="J93" s="150" t="s">
        <v>61</v>
      </c>
      <c r="K93" s="159" t="e">
        <f t="shared" si="24"/>
        <v>#N/A</v>
      </c>
      <c r="L93" s="161"/>
      <c r="M93" s="144">
        <v>13</v>
      </c>
      <c r="N93" s="150" t="s">
        <v>61</v>
      </c>
      <c r="O93" s="159" t="e">
        <f t="shared" si="25"/>
        <v>#N/A</v>
      </c>
    </row>
    <row r="94" spans="1:15" x14ac:dyDescent="0.3">
      <c r="A94" s="144">
        <v>14</v>
      </c>
      <c r="B94" s="150" t="s">
        <v>61</v>
      </c>
      <c r="C94" s="159" t="e">
        <f t="shared" si="22"/>
        <v>#N/A</v>
      </c>
      <c r="D94" s="161"/>
      <c r="E94" s="144">
        <v>14</v>
      </c>
      <c r="F94" s="150" t="s">
        <v>61</v>
      </c>
      <c r="G94" s="159" t="e">
        <f t="shared" si="23"/>
        <v>#N/A</v>
      </c>
      <c r="H94" s="161"/>
      <c r="I94" s="144">
        <v>14</v>
      </c>
      <c r="J94" s="150" t="s">
        <v>52</v>
      </c>
      <c r="K94" s="159" t="e">
        <f t="shared" si="24"/>
        <v>#N/A</v>
      </c>
      <c r="L94" s="161"/>
      <c r="M94" s="144">
        <v>14</v>
      </c>
      <c r="N94" s="150" t="s">
        <v>52</v>
      </c>
      <c r="O94" s="159" t="e">
        <f t="shared" si="25"/>
        <v>#N/A</v>
      </c>
    </row>
    <row r="95" spans="1:15" x14ac:dyDescent="0.3">
      <c r="A95" s="144">
        <v>15</v>
      </c>
      <c r="B95" s="150" t="s">
        <v>52</v>
      </c>
      <c r="C95" s="159" t="e">
        <f t="shared" si="22"/>
        <v>#N/A</v>
      </c>
      <c r="D95" s="161"/>
      <c r="E95" s="144">
        <v>15</v>
      </c>
      <c r="F95" s="150" t="s">
        <v>52</v>
      </c>
      <c r="G95" s="159" t="e">
        <f t="shared" si="23"/>
        <v>#N/A</v>
      </c>
      <c r="H95" s="161"/>
      <c r="I95" s="144">
        <v>15</v>
      </c>
      <c r="J95" s="150" t="s">
        <v>57</v>
      </c>
      <c r="K95" s="159" t="e">
        <f t="shared" si="24"/>
        <v>#N/A</v>
      </c>
      <c r="L95" s="161"/>
      <c r="M95" s="144">
        <v>15</v>
      </c>
      <c r="N95" s="150" t="s">
        <v>57</v>
      </c>
      <c r="O95" s="159" t="e">
        <f t="shared" si="25"/>
        <v>#N/A</v>
      </c>
    </row>
    <row r="96" spans="1:15" x14ac:dyDescent="0.3">
      <c r="A96" s="144">
        <v>16</v>
      </c>
      <c r="B96" s="150" t="s">
        <v>57</v>
      </c>
      <c r="C96" s="159" t="e">
        <f t="shared" si="22"/>
        <v>#N/A</v>
      </c>
      <c r="D96" s="161"/>
      <c r="E96" s="144">
        <v>16</v>
      </c>
      <c r="F96" s="150" t="s">
        <v>57</v>
      </c>
      <c r="G96" s="159" t="e">
        <f t="shared" si="23"/>
        <v>#N/A</v>
      </c>
      <c r="H96" s="161"/>
      <c r="I96" s="144">
        <v>16</v>
      </c>
      <c r="J96" s="150" t="s">
        <v>54</v>
      </c>
      <c r="K96" s="159" t="e">
        <f t="shared" si="24"/>
        <v>#N/A</v>
      </c>
      <c r="L96" s="161"/>
      <c r="M96" s="144">
        <v>16</v>
      </c>
      <c r="N96" s="150" t="s">
        <v>54</v>
      </c>
      <c r="O96" s="159" t="e">
        <f t="shared" si="25"/>
        <v>#N/A</v>
      </c>
    </row>
    <row r="97" spans="1:15" x14ac:dyDescent="0.3">
      <c r="A97" s="144">
        <v>17</v>
      </c>
      <c r="B97" s="150" t="s">
        <v>54</v>
      </c>
      <c r="C97" s="159" t="e">
        <f t="shared" si="22"/>
        <v>#N/A</v>
      </c>
      <c r="D97" s="161"/>
      <c r="E97" s="144">
        <v>17</v>
      </c>
      <c r="F97" s="150" t="s">
        <v>54</v>
      </c>
      <c r="G97" s="159" t="e">
        <f t="shared" si="23"/>
        <v>#N/A</v>
      </c>
      <c r="H97" s="161"/>
      <c r="I97" s="145">
        <v>17</v>
      </c>
      <c r="J97" s="153" t="s">
        <v>62</v>
      </c>
      <c r="K97" s="159" t="e">
        <f t="shared" si="24"/>
        <v>#N/A</v>
      </c>
      <c r="L97" s="161"/>
      <c r="M97" s="145">
        <v>17</v>
      </c>
      <c r="N97" s="153" t="s">
        <v>62</v>
      </c>
      <c r="O97" s="159" t="e">
        <f t="shared" si="25"/>
        <v>#N/A</v>
      </c>
    </row>
    <row r="98" spans="1:15" x14ac:dyDescent="0.3">
      <c r="A98" s="145">
        <v>18</v>
      </c>
      <c r="B98" s="153" t="s">
        <v>62</v>
      </c>
      <c r="C98" s="160" t="e">
        <f t="shared" si="22"/>
        <v>#N/A</v>
      </c>
      <c r="D98" s="161"/>
      <c r="E98" s="145">
        <v>18</v>
      </c>
      <c r="F98" s="153" t="s">
        <v>62</v>
      </c>
      <c r="G98" s="160" t="e">
        <f t="shared" si="23"/>
        <v>#N/A</v>
      </c>
      <c r="H98" s="161"/>
    </row>
    <row r="99" spans="1:15" s="42" customFormat="1" x14ac:dyDescent="0.3">
      <c r="B99" s="76"/>
      <c r="C99" s="106"/>
      <c r="D99" s="106"/>
      <c r="E99" s="76"/>
      <c r="F99" s="106"/>
    </row>
    <row r="100" spans="1:15" ht="18" x14ac:dyDescent="0.3">
      <c r="B100" s="107" t="s">
        <v>174</v>
      </c>
      <c r="F100" s="107" t="s">
        <v>175</v>
      </c>
    </row>
    <row r="101" spans="1:15" x14ac:dyDescent="0.3">
      <c r="A101" s="246" t="s">
        <v>75</v>
      </c>
      <c r="B101" s="432" t="s">
        <v>173</v>
      </c>
      <c r="C101" s="433"/>
      <c r="D101" s="247"/>
      <c r="E101" s="248" t="s">
        <v>75</v>
      </c>
      <c r="F101" s="431" t="s">
        <v>4</v>
      </c>
      <c r="G101" s="431"/>
      <c r="H101" s="431" t="s">
        <v>5</v>
      </c>
      <c r="I101" s="431"/>
      <c r="J101" s="431" t="s">
        <v>6</v>
      </c>
      <c r="K101" s="431"/>
      <c r="L101" s="431" t="s">
        <v>7</v>
      </c>
      <c r="M101" s="431"/>
    </row>
    <row r="102" spans="1:15" ht="15" customHeight="1" x14ac:dyDescent="0.3">
      <c r="A102" s="249" t="s">
        <v>53</v>
      </c>
      <c r="B102" s="250" t="s">
        <v>1</v>
      </c>
      <c r="C102" s="251" t="s">
        <v>76</v>
      </c>
      <c r="D102" s="247"/>
      <c r="E102" s="252" t="s">
        <v>53</v>
      </c>
      <c r="F102" s="253" t="s">
        <v>1</v>
      </c>
      <c r="G102" s="254" t="s">
        <v>76</v>
      </c>
      <c r="H102" s="255" t="s">
        <v>1</v>
      </c>
      <c r="I102" s="256" t="s">
        <v>76</v>
      </c>
      <c r="J102" s="257" t="s">
        <v>1</v>
      </c>
      <c r="K102" s="254" t="s">
        <v>76</v>
      </c>
      <c r="L102" s="258" t="s">
        <v>1</v>
      </c>
      <c r="M102" s="256" t="s">
        <v>76</v>
      </c>
      <c r="N102" s="47"/>
    </row>
    <row r="103" spans="1:15" x14ac:dyDescent="0.3">
      <c r="A103" s="259" t="s">
        <v>172</v>
      </c>
      <c r="B103" s="260">
        <f>_xlfn.AGGREGATE(4,6,$K$81:$K$97)</f>
        <v>0</v>
      </c>
      <c r="C103" s="261">
        <f>_xlfn.AGGREGATE(4,6,$O$81:$O$97)</f>
        <v>0</v>
      </c>
      <c r="D103" s="247"/>
      <c r="E103" s="248" t="s">
        <v>172</v>
      </c>
      <c r="F103" s="262">
        <v>0.255</v>
      </c>
      <c r="G103" s="263">
        <v>0.19</v>
      </c>
      <c r="H103" s="262"/>
      <c r="I103" s="263"/>
      <c r="J103" s="264"/>
      <c r="K103" s="263"/>
      <c r="L103" s="265"/>
      <c r="M103" s="263"/>
      <c r="N103" s="47"/>
    </row>
    <row r="104" spans="1:15" x14ac:dyDescent="0.3">
      <c r="A104" s="259" t="s">
        <v>170</v>
      </c>
      <c r="B104" s="260">
        <f>_xlfn.AGGREGATE(5,6,$K$81:$K$97)</f>
        <v>0</v>
      </c>
      <c r="C104" s="261">
        <f>_xlfn.AGGREGATE(5,6,$O$81:$O$97)</f>
        <v>0</v>
      </c>
      <c r="D104" s="247"/>
      <c r="E104" s="248" t="s">
        <v>170</v>
      </c>
      <c r="F104" s="262">
        <v>0</v>
      </c>
      <c r="G104" s="263">
        <v>0</v>
      </c>
      <c r="H104" s="262"/>
      <c r="I104" s="263"/>
      <c r="J104" s="264"/>
      <c r="K104" s="263"/>
      <c r="L104" s="265"/>
      <c r="M104" s="263"/>
      <c r="N104" s="47"/>
    </row>
    <row r="105" spans="1:15" x14ac:dyDescent="0.3">
      <c r="A105" s="266" t="s">
        <v>171</v>
      </c>
      <c r="B105" s="267" t="e">
        <f>_xlfn.AGGREGATE(12,6,$K$81:$K$97)</f>
        <v>#NUM!</v>
      </c>
      <c r="C105" s="268" t="e">
        <f>_xlfn.AGGREGATE(12,6,$O$81:$O$97)</f>
        <v>#NUM!</v>
      </c>
      <c r="D105" s="247"/>
      <c r="E105" s="248" t="s">
        <v>171</v>
      </c>
      <c r="F105" s="269">
        <v>0.04</v>
      </c>
      <c r="G105" s="270">
        <v>0</v>
      </c>
      <c r="H105" s="269"/>
      <c r="I105" s="270"/>
      <c r="J105" s="271"/>
      <c r="K105" s="270"/>
      <c r="L105" s="272"/>
      <c r="M105" s="270"/>
      <c r="N105" s="47"/>
    </row>
    <row r="106" spans="1:15" x14ac:dyDescent="0.3">
      <c r="A106" s="247"/>
      <c r="B106" s="247"/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</row>
    <row r="107" spans="1:15" x14ac:dyDescent="0.3">
      <c r="A107" s="257" t="s">
        <v>77</v>
      </c>
      <c r="B107" s="432" t="s">
        <v>173</v>
      </c>
      <c r="C107" s="433"/>
      <c r="D107" s="247"/>
      <c r="E107" s="273" t="s">
        <v>77</v>
      </c>
      <c r="F107" s="431" t="s">
        <v>4</v>
      </c>
      <c r="G107" s="431"/>
      <c r="H107" s="431" t="s">
        <v>5</v>
      </c>
      <c r="I107" s="431"/>
      <c r="J107" s="431" t="s">
        <v>6</v>
      </c>
      <c r="K107" s="431"/>
      <c r="L107" s="431" t="s">
        <v>7</v>
      </c>
      <c r="M107" s="431"/>
    </row>
    <row r="108" spans="1:15" x14ac:dyDescent="0.3">
      <c r="A108" s="274" t="s">
        <v>12</v>
      </c>
      <c r="B108" s="275" t="s">
        <v>1</v>
      </c>
      <c r="C108" s="276" t="s">
        <v>76</v>
      </c>
      <c r="D108" s="247"/>
      <c r="E108" s="273" t="s">
        <v>12</v>
      </c>
      <c r="F108" s="253" t="s">
        <v>1</v>
      </c>
      <c r="G108" s="254" t="s">
        <v>76</v>
      </c>
      <c r="H108" s="255" t="s">
        <v>1</v>
      </c>
      <c r="I108" s="256" t="s">
        <v>76</v>
      </c>
      <c r="J108" s="257" t="s">
        <v>1</v>
      </c>
      <c r="K108" s="254" t="s">
        <v>76</v>
      </c>
      <c r="L108" s="258" t="s">
        <v>1</v>
      </c>
      <c r="M108" s="256" t="s">
        <v>76</v>
      </c>
    </row>
    <row r="109" spans="1:15" x14ac:dyDescent="0.3">
      <c r="A109" s="259" t="s">
        <v>172</v>
      </c>
      <c r="B109" s="260">
        <f>_xlfn.AGGREGATE(4,6,$C$81:$C$98)</f>
        <v>0</v>
      </c>
      <c r="C109" s="261">
        <f>_xlfn.AGGREGATE(4,6,$G$81:$G$98)</f>
        <v>0</v>
      </c>
      <c r="D109" s="247"/>
      <c r="E109" s="248" t="s">
        <v>172</v>
      </c>
      <c r="F109" s="262">
        <v>0.3095</v>
      </c>
      <c r="G109" s="263">
        <v>0.1</v>
      </c>
      <c r="H109" s="262"/>
      <c r="I109" s="263"/>
      <c r="J109" s="264"/>
      <c r="K109" s="263"/>
      <c r="L109" s="265"/>
      <c r="M109" s="263"/>
    </row>
    <row r="110" spans="1:15" x14ac:dyDescent="0.3">
      <c r="A110" s="259" t="s">
        <v>170</v>
      </c>
      <c r="B110" s="260">
        <f>_xlfn.AGGREGATE(5,6,$C$81:$C$98)</f>
        <v>0</v>
      </c>
      <c r="C110" s="261">
        <f>_xlfn.AGGREGATE(5,6,$G$81:$G$98)</f>
        <v>0</v>
      </c>
      <c r="D110" s="247"/>
      <c r="E110" s="248" t="s">
        <v>170</v>
      </c>
      <c r="F110" s="262">
        <v>0</v>
      </c>
      <c r="G110" s="263">
        <v>0</v>
      </c>
      <c r="H110" s="262"/>
      <c r="I110" s="263"/>
      <c r="J110" s="264"/>
      <c r="K110" s="263"/>
      <c r="L110" s="265"/>
      <c r="M110" s="263"/>
    </row>
    <row r="111" spans="1:15" x14ac:dyDescent="0.3">
      <c r="A111" s="266" t="s">
        <v>171</v>
      </c>
      <c r="B111" s="267" t="e">
        <f>_xlfn.AGGREGATE(12,6,$C$81:$C$98)</f>
        <v>#NUM!</v>
      </c>
      <c r="C111" s="268" t="e">
        <f>_xlfn.AGGREGATE(12,6,$G$81:$G$98)</f>
        <v>#NUM!</v>
      </c>
      <c r="D111" s="247"/>
      <c r="E111" s="248" t="s">
        <v>171</v>
      </c>
      <c r="F111" s="269">
        <v>6.3399999999999998E-2</v>
      </c>
      <c r="G111" s="270">
        <v>1.6E-2</v>
      </c>
      <c r="H111" s="269"/>
      <c r="I111" s="270"/>
      <c r="J111" s="271"/>
      <c r="K111" s="270"/>
      <c r="L111" s="272"/>
      <c r="M111" s="270"/>
    </row>
  </sheetData>
  <mergeCells count="10">
    <mergeCell ref="B107:C107"/>
    <mergeCell ref="F107:G107"/>
    <mergeCell ref="H107:I107"/>
    <mergeCell ref="J107:K107"/>
    <mergeCell ref="L107:M107"/>
    <mergeCell ref="B101:C101"/>
    <mergeCell ref="F101:G101"/>
    <mergeCell ref="H101:I101"/>
    <mergeCell ref="J101:K101"/>
    <mergeCell ref="L101:M10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FF0000"/>
  </sheetPr>
  <dimension ref="A2:K24"/>
  <sheetViews>
    <sheetView workbookViewId="0">
      <selection activeCell="C25" sqref="C25"/>
    </sheetView>
  </sheetViews>
  <sheetFormatPr defaultRowHeight="14.4" x14ac:dyDescent="0.3"/>
  <sheetData>
    <row r="2" spans="1:11" s="100" customFormat="1" ht="23.4" x14ac:dyDescent="0.45">
      <c r="A2" s="100" t="s">
        <v>109</v>
      </c>
    </row>
    <row r="4" spans="1:11" x14ac:dyDescent="0.3">
      <c r="A4" s="74" t="s">
        <v>12</v>
      </c>
      <c r="B4" s="75"/>
      <c r="C4" s="75"/>
      <c r="D4" s="75"/>
      <c r="E4" s="75"/>
      <c r="G4" s="74" t="s">
        <v>53</v>
      </c>
      <c r="H4" s="75"/>
      <c r="I4" s="75"/>
      <c r="J4" s="75"/>
      <c r="K4" s="75"/>
    </row>
    <row r="5" spans="1:11" x14ac:dyDescent="0.3">
      <c r="A5" s="75"/>
      <c r="B5" s="75" t="s">
        <v>4</v>
      </c>
      <c r="C5" s="75" t="s">
        <v>5</v>
      </c>
      <c r="D5" s="75" t="s">
        <v>6</v>
      </c>
      <c r="E5" s="75" t="s">
        <v>7</v>
      </c>
      <c r="G5" s="75"/>
      <c r="H5" s="75" t="s">
        <v>4</v>
      </c>
      <c r="I5" s="75" t="s">
        <v>5</v>
      </c>
      <c r="J5" s="75" t="s">
        <v>6</v>
      </c>
      <c r="K5" s="75" t="s">
        <v>7</v>
      </c>
    </row>
    <row r="6" spans="1:11" x14ac:dyDescent="0.3">
      <c r="A6" s="75" t="s">
        <v>9</v>
      </c>
      <c r="B6" s="226" t="str">
        <f ca="1">Data!G49</f>
        <v>No data</v>
      </c>
      <c r="C6" s="233" t="str">
        <f ca="1">Data!G99</f>
        <v>No data</v>
      </c>
      <c r="D6" s="226" t="str">
        <f ca="1">Data!G149</f>
        <v>No data</v>
      </c>
      <c r="E6" s="226" t="str">
        <f ca="1">Data!G199</f>
        <v>No data</v>
      </c>
      <c r="G6" s="75" t="s">
        <v>9</v>
      </c>
      <c r="H6" s="233">
        <f ca="1">Data!G24</f>
        <v>0</v>
      </c>
      <c r="I6" s="233">
        <f ca="1">Data!G74</f>
        <v>0</v>
      </c>
      <c r="J6" s="233">
        <f ca="1">Data!G124</f>
        <v>0</v>
      </c>
      <c r="K6" s="233" t="str">
        <f ca="1">Data!G174</f>
        <v>No data</v>
      </c>
    </row>
    <row r="7" spans="1:11" x14ac:dyDescent="0.3">
      <c r="A7" s="75" t="s">
        <v>17</v>
      </c>
      <c r="B7" s="226" t="str">
        <f ca="1">Data!H49</f>
        <v>No data</v>
      </c>
      <c r="C7" s="233" t="str">
        <f ca="1">Data!H99</f>
        <v>No data</v>
      </c>
      <c r="D7" s="226" t="str">
        <f ca="1">Data!H149</f>
        <v>No data</v>
      </c>
      <c r="E7" s="226" t="str">
        <f ca="1">Data!H199</f>
        <v>No data</v>
      </c>
      <c r="G7" s="75" t="s">
        <v>17</v>
      </c>
      <c r="H7" s="233">
        <f ca="1">Data!H24</f>
        <v>0</v>
      </c>
      <c r="I7" s="233">
        <f ca="1">Data!H74</f>
        <v>0</v>
      </c>
      <c r="J7" s="233">
        <f ca="1">Data!H124</f>
        <v>0</v>
      </c>
      <c r="K7" s="233">
        <f>Data!IH174</f>
        <v>0</v>
      </c>
    </row>
    <row r="9" spans="1:11" x14ac:dyDescent="0.3">
      <c r="A9" s="75" t="s">
        <v>67</v>
      </c>
      <c r="G9" s="75" t="s">
        <v>90</v>
      </c>
      <c r="H9" s="33"/>
      <c r="I9" s="33"/>
      <c r="J9" s="33"/>
      <c r="K9" s="33"/>
    </row>
    <row r="10" spans="1:11" x14ac:dyDescent="0.3">
      <c r="A10" s="75"/>
      <c r="B10" s="75" t="s">
        <v>4</v>
      </c>
      <c r="C10" s="75" t="s">
        <v>5</v>
      </c>
      <c r="D10" s="75" t="s">
        <v>6</v>
      </c>
      <c r="E10" s="75" t="s">
        <v>7</v>
      </c>
      <c r="G10" s="75"/>
      <c r="H10" s="75" t="s">
        <v>4</v>
      </c>
      <c r="I10" s="75" t="s">
        <v>5</v>
      </c>
      <c r="J10" s="75" t="s">
        <v>6</v>
      </c>
      <c r="K10" s="75" t="s">
        <v>7</v>
      </c>
    </row>
    <row r="11" spans="1:11" x14ac:dyDescent="0.3">
      <c r="A11" s="75" t="s">
        <v>34</v>
      </c>
      <c r="B11" s="226" t="str">
        <f ca="1">Data!J49</f>
        <v>No data</v>
      </c>
      <c r="C11" s="233" t="str">
        <f ca="1">Data!J99</f>
        <v>No data</v>
      </c>
      <c r="D11" s="233">
        <f>Data!J1077</f>
        <v>0</v>
      </c>
      <c r="E11" s="226" t="str">
        <f ca="1">Data!J199</f>
        <v>No data</v>
      </c>
      <c r="G11" s="75" t="s">
        <v>34</v>
      </c>
      <c r="H11" s="233">
        <f ca="1">Data!J24</f>
        <v>0</v>
      </c>
      <c r="I11" s="233">
        <f ca="1">Data!J74</f>
        <v>0</v>
      </c>
      <c r="J11" s="233">
        <f ca="1">Data!J124</f>
        <v>9</v>
      </c>
      <c r="K11" s="233" t="str">
        <f ca="1">Data!J174</f>
        <v>No data</v>
      </c>
    </row>
    <row r="12" spans="1:11" x14ac:dyDescent="0.3">
      <c r="A12" s="75" t="s">
        <v>35</v>
      </c>
      <c r="B12" s="226" t="str">
        <f ca="1">Data!K49</f>
        <v>No data</v>
      </c>
      <c r="C12" s="233" t="str">
        <f ca="1">Data!K99</f>
        <v>No data</v>
      </c>
      <c r="D12" s="233" t="str">
        <f ca="1">Data!K149</f>
        <v>No data</v>
      </c>
      <c r="E12" s="226" t="str">
        <f ca="1">Data!K199</f>
        <v>No data</v>
      </c>
      <c r="G12" s="75" t="s">
        <v>35</v>
      </c>
      <c r="H12" s="233">
        <f ca="1">Data!K24</f>
        <v>0</v>
      </c>
      <c r="I12" s="233">
        <f ca="1">Data!K74</f>
        <v>0</v>
      </c>
      <c r="J12" s="233">
        <f ca="1">Data!K124</f>
        <v>6</v>
      </c>
      <c r="K12" s="233" t="str">
        <f ca="1">Data!K174</f>
        <v>No data</v>
      </c>
    </row>
    <row r="13" spans="1:11" x14ac:dyDescent="0.3">
      <c r="A13" s="75" t="s">
        <v>36</v>
      </c>
      <c r="B13" s="226" t="str">
        <f ca="1">Data!L49</f>
        <v>No data</v>
      </c>
      <c r="C13" s="233" t="str">
        <f ca="1">Data!L99</f>
        <v>No data</v>
      </c>
      <c r="D13" s="233" t="str">
        <f ca="1">Data!L149</f>
        <v>No data</v>
      </c>
      <c r="E13" s="226" t="str">
        <f ca="1">Data!L199</f>
        <v>No data</v>
      </c>
      <c r="G13" s="75" t="s">
        <v>36</v>
      </c>
      <c r="H13" s="233">
        <f ca="1">Data!L24</f>
        <v>0</v>
      </c>
      <c r="I13" s="233">
        <f ca="1">Data!L74</f>
        <v>0</v>
      </c>
      <c r="J13" s="233">
        <f ca="1">Data!L124</f>
        <v>0</v>
      </c>
      <c r="K13" s="233" t="str">
        <f ca="1">Data!L174</f>
        <v>No data</v>
      </c>
    </row>
    <row r="15" spans="1:11" x14ac:dyDescent="0.3">
      <c r="A15" s="75" t="s">
        <v>68</v>
      </c>
      <c r="B15" s="33"/>
      <c r="C15" s="33"/>
      <c r="D15" s="33"/>
      <c r="E15" s="33"/>
      <c r="G15" s="75" t="s">
        <v>91</v>
      </c>
      <c r="H15" s="33"/>
      <c r="I15" s="33"/>
      <c r="J15" s="33"/>
      <c r="K15" s="33"/>
    </row>
    <row r="16" spans="1:11" x14ac:dyDescent="0.3">
      <c r="A16" s="75"/>
      <c r="B16" s="75" t="s">
        <v>4</v>
      </c>
      <c r="C16" s="75" t="s">
        <v>5</v>
      </c>
      <c r="D16" s="75" t="s">
        <v>6</v>
      </c>
      <c r="E16" s="75" t="s">
        <v>7</v>
      </c>
      <c r="G16" s="75"/>
      <c r="H16" s="75" t="s">
        <v>4</v>
      </c>
      <c r="I16" s="75" t="s">
        <v>5</v>
      </c>
      <c r="J16" s="75" t="s">
        <v>6</v>
      </c>
      <c r="K16" s="75" t="s">
        <v>7</v>
      </c>
    </row>
    <row r="17" spans="1:11" x14ac:dyDescent="0.3">
      <c r="A17" s="75" t="s">
        <v>34</v>
      </c>
      <c r="B17" s="226" t="str">
        <f ca="1">Data!P49</f>
        <v>No data</v>
      </c>
      <c r="C17" s="226" t="str">
        <f ca="1">Data!P99</f>
        <v>No data</v>
      </c>
      <c r="D17" s="226" t="str">
        <f ca="1">Data!P149</f>
        <v>No data</v>
      </c>
      <c r="E17" s="226" t="str">
        <f ca="1">Data!P199</f>
        <v>No data</v>
      </c>
      <c r="G17" s="75" t="s">
        <v>34</v>
      </c>
      <c r="H17" s="233">
        <f ca="1">Data!P24</f>
        <v>28</v>
      </c>
      <c r="I17" s="233">
        <f ca="1">Data!P74</f>
        <v>27</v>
      </c>
      <c r="J17" s="233">
        <f ca="1">Data!P124</f>
        <v>17</v>
      </c>
      <c r="K17" s="233" t="str">
        <f ca="1">Data!P174</f>
        <v>No data</v>
      </c>
    </row>
    <row r="18" spans="1:11" x14ac:dyDescent="0.3">
      <c r="A18" s="75" t="s">
        <v>35</v>
      </c>
      <c r="B18" s="226" t="str">
        <f ca="1">Data!Q49</f>
        <v>No data</v>
      </c>
      <c r="C18" s="226" t="str">
        <f ca="1">Data!Q99</f>
        <v>No data</v>
      </c>
      <c r="D18" s="226" t="str">
        <f ca="1">Data!Q149</f>
        <v>No data</v>
      </c>
      <c r="E18" s="226" t="str">
        <f ca="1">Data!Q199</f>
        <v>No data</v>
      </c>
      <c r="G18" s="75" t="s">
        <v>35</v>
      </c>
      <c r="H18" s="233">
        <f ca="1">Data!Q24</f>
        <v>53</v>
      </c>
      <c r="I18" s="233">
        <f ca="1">Data!Q74</f>
        <v>77</v>
      </c>
      <c r="J18" s="233">
        <f ca="1">Data!Q124</f>
        <v>46</v>
      </c>
      <c r="K18" s="233" t="str">
        <f ca="1">Data!Q174</f>
        <v>No data</v>
      </c>
    </row>
    <row r="19" spans="1:11" x14ac:dyDescent="0.3">
      <c r="A19" s="75" t="s">
        <v>36</v>
      </c>
      <c r="B19" s="226" t="str">
        <f ca="1">Data!R49</f>
        <v>No data</v>
      </c>
      <c r="C19" s="226" t="str">
        <f ca="1">Data!R99</f>
        <v>No data</v>
      </c>
      <c r="D19" s="226" t="str">
        <f ca="1">Data!R149</f>
        <v>No data</v>
      </c>
      <c r="E19" s="226" t="str">
        <f ca="1">Data!R199</f>
        <v>No data</v>
      </c>
      <c r="G19" s="75" t="s">
        <v>36</v>
      </c>
      <c r="H19" s="233">
        <f ca="1">Data!R24</f>
        <v>116</v>
      </c>
      <c r="I19" s="233">
        <f ca="1">Data!R74</f>
        <v>108</v>
      </c>
      <c r="J19" s="233">
        <f ca="1">Data!R124</f>
        <v>131</v>
      </c>
      <c r="K19" s="233" t="str">
        <f ca="1">Data!R174</f>
        <v>No data</v>
      </c>
    </row>
    <row r="20" spans="1:11" s="42" customFormat="1" x14ac:dyDescent="0.3"/>
    <row r="21" spans="1:11" x14ac:dyDescent="0.3">
      <c r="A21" s="75" t="s">
        <v>69</v>
      </c>
      <c r="G21" s="75" t="s">
        <v>92</v>
      </c>
      <c r="H21" s="33"/>
      <c r="I21" s="33"/>
      <c r="J21" s="33"/>
      <c r="K21" s="33"/>
    </row>
    <row r="22" spans="1:11" x14ac:dyDescent="0.3">
      <c r="A22" s="75"/>
      <c r="B22" s="75" t="s">
        <v>4</v>
      </c>
      <c r="C22" s="75" t="s">
        <v>5</v>
      </c>
      <c r="D22" s="75" t="s">
        <v>6</v>
      </c>
      <c r="E22" s="75" t="s">
        <v>7</v>
      </c>
      <c r="G22" s="75"/>
      <c r="H22" s="75" t="s">
        <v>4</v>
      </c>
      <c r="I22" s="75" t="s">
        <v>5</v>
      </c>
      <c r="J22" s="75" t="s">
        <v>6</v>
      </c>
      <c r="K22" s="75" t="s">
        <v>7</v>
      </c>
    </row>
    <row r="23" spans="1:11" x14ac:dyDescent="0.3">
      <c r="A23" s="75" t="s">
        <v>9</v>
      </c>
      <c r="B23" s="232" t="str">
        <f ca="1">Data!U49</f>
        <v>No data</v>
      </c>
      <c r="C23" s="232" t="str">
        <f ca="1">Data!U99</f>
        <v>No data</v>
      </c>
      <c r="D23" s="232" t="str">
        <f ca="1">Data!U149</f>
        <v>No data</v>
      </c>
      <c r="E23" s="232" t="str">
        <f ca="1">Data!U199</f>
        <v>No data</v>
      </c>
      <c r="G23" s="75" t="s">
        <v>9</v>
      </c>
      <c r="H23" s="232" t="e">
        <f ca="1">IF(Data!U24=0,NA(),Data!U24)</f>
        <v>#N/A</v>
      </c>
      <c r="I23" s="226" t="e">
        <f ca="1">IF(Data!U74=0,NA(),Data!U74)</f>
        <v>#N/A</v>
      </c>
      <c r="J23" s="226" t="e">
        <f ca="1">IF(Data!U124=0,NA(),Data!U124)</f>
        <v>#N/A</v>
      </c>
      <c r="K23" s="226" t="str">
        <f ca="1">IF(Data!U174=0,NA(),Data!U174)</f>
        <v>No data</v>
      </c>
    </row>
    <row r="24" spans="1:11" x14ac:dyDescent="0.3">
      <c r="A24" s="75" t="s">
        <v>17</v>
      </c>
      <c r="B24" s="232" t="str">
        <f ca="1">Data!V49</f>
        <v>No data</v>
      </c>
      <c r="C24" s="232" t="str">
        <f ca="1">Data!V99</f>
        <v>No data</v>
      </c>
      <c r="D24" s="232" t="str">
        <f ca="1">Data!V149</f>
        <v>No data</v>
      </c>
      <c r="E24" s="232" t="str">
        <f ca="1">Data!V199</f>
        <v>No data</v>
      </c>
      <c r="G24" s="75" t="s">
        <v>17</v>
      </c>
      <c r="H24" s="232" t="e">
        <f ca="1">IF(Data!V24=0,NA(),Data!V24)</f>
        <v>#N/A</v>
      </c>
      <c r="I24" s="226" t="e">
        <f ca="1">IF(Data!V74=0,NA(),Data!V74)</f>
        <v>#N/A</v>
      </c>
      <c r="J24" s="226" t="e">
        <f ca="1">IF(Data!V124=0,NA(),Data!V124)</f>
        <v>#N/A</v>
      </c>
      <c r="K24" s="226" t="str">
        <f ca="1">IF(Data!V174=0,NA(),Data!V174)</f>
        <v>No data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">
    <tabColor rgb="FFFF0000"/>
  </sheetPr>
  <dimension ref="A1:K41"/>
  <sheetViews>
    <sheetView workbookViewId="0">
      <selection activeCell="H23" sqref="H23"/>
    </sheetView>
  </sheetViews>
  <sheetFormatPr defaultRowHeight="14.4" x14ac:dyDescent="0.3"/>
  <cols>
    <col min="2" max="2" width="62.6640625" customWidth="1"/>
    <col min="3" max="3" width="9.88671875" bestFit="1" customWidth="1"/>
    <col min="7" max="7" width="16.88671875" customWidth="1"/>
    <col min="11" max="11" width="16.109375" customWidth="1"/>
  </cols>
  <sheetData>
    <row r="1" spans="1:11" ht="15.6" x14ac:dyDescent="0.3">
      <c r="A1">
        <v>1</v>
      </c>
      <c r="B1" s="239" t="s">
        <v>157</v>
      </c>
      <c r="C1" s="33" t="s">
        <v>20</v>
      </c>
      <c r="G1" s="34" t="s">
        <v>89</v>
      </c>
      <c r="K1" s="278" t="s">
        <v>50</v>
      </c>
    </row>
    <row r="2" spans="1:11" ht="15.6" x14ac:dyDescent="0.3">
      <c r="A2">
        <v>2</v>
      </c>
      <c r="B2" s="239" t="s">
        <v>209</v>
      </c>
      <c r="C2" s="33" t="s">
        <v>20</v>
      </c>
      <c r="G2" t="s">
        <v>11</v>
      </c>
      <c r="H2" t="s">
        <v>47</v>
      </c>
      <c r="K2" s="111">
        <v>124</v>
      </c>
    </row>
    <row r="3" spans="1:11" ht="15.6" x14ac:dyDescent="0.3">
      <c r="A3" s="33">
        <v>3</v>
      </c>
      <c r="B3" s="239" t="s">
        <v>159</v>
      </c>
      <c r="C3" s="33" t="s">
        <v>20</v>
      </c>
      <c r="G3" t="s">
        <v>12</v>
      </c>
      <c r="H3" t="s">
        <v>46</v>
      </c>
      <c r="K3" s="111">
        <v>40</v>
      </c>
    </row>
    <row r="4" spans="1:11" ht="15.6" x14ac:dyDescent="0.3">
      <c r="A4" s="33">
        <v>4</v>
      </c>
      <c r="B4" s="239" t="s">
        <v>160</v>
      </c>
      <c r="C4" t="s">
        <v>20</v>
      </c>
      <c r="H4" t="s">
        <v>48</v>
      </c>
      <c r="K4" s="112">
        <v>85</v>
      </c>
    </row>
    <row r="5" spans="1:11" s="33" customFormat="1" ht="15.6" x14ac:dyDescent="0.3">
      <c r="A5" s="33">
        <v>5</v>
      </c>
      <c r="B5" s="239" t="s">
        <v>161</v>
      </c>
      <c r="C5" s="33" t="s">
        <v>20</v>
      </c>
      <c r="H5" s="33" t="s">
        <v>49</v>
      </c>
    </row>
    <row r="6" spans="1:11" s="33" customFormat="1" ht="15.6" x14ac:dyDescent="0.3">
      <c r="A6" s="33">
        <v>6</v>
      </c>
      <c r="B6" s="239" t="s">
        <v>165</v>
      </c>
      <c r="C6" s="33" t="s">
        <v>20</v>
      </c>
    </row>
    <row r="7" spans="1:11" s="33" customFormat="1" ht="15.6" x14ac:dyDescent="0.3">
      <c r="A7" s="33">
        <v>7</v>
      </c>
      <c r="B7" s="239" t="s">
        <v>166</v>
      </c>
      <c r="C7" s="33" t="s">
        <v>20</v>
      </c>
    </row>
    <row r="8" spans="1:11" s="33" customFormat="1" ht="15.6" x14ac:dyDescent="0.3">
      <c r="A8" s="33">
        <v>8</v>
      </c>
      <c r="B8" s="240" t="s">
        <v>162</v>
      </c>
      <c r="C8" s="33" t="s">
        <v>20</v>
      </c>
    </row>
    <row r="9" spans="1:11" s="33" customFormat="1" ht="15.6" x14ac:dyDescent="0.3">
      <c r="B9" s="239" t="s">
        <v>163</v>
      </c>
      <c r="C9" s="33" t="s">
        <v>20</v>
      </c>
    </row>
    <row r="10" spans="1:11" s="33" customFormat="1" ht="15.6" x14ac:dyDescent="0.3">
      <c r="A10" s="33">
        <v>9</v>
      </c>
      <c r="B10" s="239" t="s">
        <v>58</v>
      </c>
      <c r="C10" s="33" t="s">
        <v>20</v>
      </c>
    </row>
    <row r="11" spans="1:11" s="33" customFormat="1" ht="15.6" x14ac:dyDescent="0.3">
      <c r="A11" s="33">
        <v>10</v>
      </c>
      <c r="B11" s="239" t="s">
        <v>196</v>
      </c>
      <c r="C11" s="33" t="s">
        <v>20</v>
      </c>
    </row>
    <row r="12" spans="1:11" s="33" customFormat="1" ht="15.6" x14ac:dyDescent="0.3">
      <c r="A12" s="33">
        <v>11</v>
      </c>
      <c r="B12" s="239" t="s">
        <v>60</v>
      </c>
      <c r="C12" s="33" t="s">
        <v>20</v>
      </c>
    </row>
    <row r="13" spans="1:11" s="33" customFormat="1" ht="15.6" x14ac:dyDescent="0.3">
      <c r="A13" s="33">
        <v>12</v>
      </c>
      <c r="B13" s="239" t="s">
        <v>56</v>
      </c>
      <c r="C13" s="33" t="s">
        <v>20</v>
      </c>
    </row>
    <row r="14" spans="1:11" s="33" customFormat="1" ht="15.6" x14ac:dyDescent="0.3">
      <c r="A14" s="33">
        <v>13</v>
      </c>
      <c r="B14" s="239" t="s">
        <v>61</v>
      </c>
      <c r="C14" s="33" t="s">
        <v>20</v>
      </c>
    </row>
    <row r="15" spans="1:11" s="33" customFormat="1" ht="15.6" x14ac:dyDescent="0.3">
      <c r="A15" s="33">
        <v>14</v>
      </c>
      <c r="B15" s="239" t="s">
        <v>52</v>
      </c>
      <c r="C15" s="33" t="s">
        <v>20</v>
      </c>
    </row>
    <row r="16" spans="1:11" s="33" customFormat="1" ht="15.6" x14ac:dyDescent="0.3">
      <c r="A16" s="33">
        <v>15</v>
      </c>
      <c r="B16" s="239" t="s">
        <v>57</v>
      </c>
      <c r="C16" s="33" t="s">
        <v>20</v>
      </c>
    </row>
    <row r="17" spans="1:3" s="33" customFormat="1" ht="15.6" x14ac:dyDescent="0.3">
      <c r="A17" s="33">
        <v>16</v>
      </c>
      <c r="B17" s="239" t="s">
        <v>54</v>
      </c>
      <c r="C17" s="33" t="s">
        <v>20</v>
      </c>
    </row>
    <row r="18" spans="1:3" s="33" customFormat="1" ht="15.6" x14ac:dyDescent="0.3">
      <c r="A18" s="33">
        <v>17</v>
      </c>
      <c r="B18" s="239" t="s">
        <v>62</v>
      </c>
      <c r="C18" s="33" t="s">
        <v>20</v>
      </c>
    </row>
    <row r="19" spans="1:3" s="33" customFormat="1" x14ac:dyDescent="0.3">
      <c r="A19"/>
      <c r="B19" s="280">
        <v>1</v>
      </c>
      <c r="C19" s="281">
        <f>IF(B19&gt;8,B19-1,B19)</f>
        <v>1</v>
      </c>
    </row>
    <row r="22" spans="1:3" ht="15.6" x14ac:dyDescent="0.3">
      <c r="A22" s="33">
        <v>1</v>
      </c>
      <c r="B22" s="239" t="s">
        <v>157</v>
      </c>
      <c r="C22" s="33" t="s">
        <v>23</v>
      </c>
    </row>
    <row r="23" spans="1:3" ht="15.6" x14ac:dyDescent="0.3">
      <c r="A23" s="33">
        <v>2</v>
      </c>
      <c r="B23" s="239" t="s">
        <v>210</v>
      </c>
      <c r="C23" s="33" t="s">
        <v>23</v>
      </c>
    </row>
    <row r="24" spans="1:3" ht="15.6" x14ac:dyDescent="0.3">
      <c r="A24" s="33">
        <v>3</v>
      </c>
      <c r="B24" s="239" t="s">
        <v>159</v>
      </c>
      <c r="C24" s="33" t="s">
        <v>23</v>
      </c>
    </row>
    <row r="25" spans="1:3" ht="15.6" x14ac:dyDescent="0.3">
      <c r="A25" s="33">
        <v>4</v>
      </c>
      <c r="B25" s="239" t="s">
        <v>160</v>
      </c>
      <c r="C25" s="33" t="s">
        <v>23</v>
      </c>
    </row>
    <row r="26" spans="1:3" ht="15.6" x14ac:dyDescent="0.3">
      <c r="A26" s="33">
        <v>5</v>
      </c>
      <c r="B26" s="239" t="s">
        <v>161</v>
      </c>
      <c r="C26" s="33" t="s">
        <v>23</v>
      </c>
    </row>
    <row r="27" spans="1:3" ht="15.6" x14ac:dyDescent="0.3">
      <c r="A27" s="33">
        <v>6</v>
      </c>
      <c r="B27" s="239" t="s">
        <v>165</v>
      </c>
      <c r="C27" s="33" t="s">
        <v>23</v>
      </c>
    </row>
    <row r="28" spans="1:3" ht="15.6" x14ac:dyDescent="0.3">
      <c r="A28" s="33">
        <v>7</v>
      </c>
      <c r="B28" s="239" t="s">
        <v>166</v>
      </c>
      <c r="C28" s="33" t="s">
        <v>23</v>
      </c>
    </row>
    <row r="29" spans="1:3" ht="15.6" x14ac:dyDescent="0.3">
      <c r="A29" s="33">
        <v>8</v>
      </c>
      <c r="B29" s="239" t="s">
        <v>162</v>
      </c>
      <c r="C29" s="33" t="s">
        <v>23</v>
      </c>
    </row>
    <row r="30" spans="1:3" ht="15.6" x14ac:dyDescent="0.3">
      <c r="B30" s="240" t="s">
        <v>163</v>
      </c>
      <c r="C30" s="33" t="s">
        <v>23</v>
      </c>
    </row>
    <row r="31" spans="1:3" ht="15.6" x14ac:dyDescent="0.3">
      <c r="A31" s="33">
        <v>9</v>
      </c>
      <c r="B31" s="239" t="s">
        <v>58</v>
      </c>
      <c r="C31" s="33" t="s">
        <v>23</v>
      </c>
    </row>
    <row r="32" spans="1:3" ht="15.6" x14ac:dyDescent="0.3">
      <c r="A32" s="33">
        <v>10</v>
      </c>
      <c r="B32" s="239" t="s">
        <v>59</v>
      </c>
      <c r="C32" s="33" t="s">
        <v>23</v>
      </c>
    </row>
    <row r="33" spans="1:3" ht="15.6" x14ac:dyDescent="0.3">
      <c r="A33" s="33">
        <v>11</v>
      </c>
      <c r="B33" s="239" t="s">
        <v>208</v>
      </c>
      <c r="C33" s="33" t="s">
        <v>23</v>
      </c>
    </row>
    <row r="34" spans="1:3" ht="15.6" x14ac:dyDescent="0.3">
      <c r="A34" s="33">
        <v>12</v>
      </c>
      <c r="B34" s="239" t="s">
        <v>60</v>
      </c>
      <c r="C34" s="33" t="s">
        <v>23</v>
      </c>
    </row>
    <row r="35" spans="1:3" ht="15.6" x14ac:dyDescent="0.3">
      <c r="A35" s="33">
        <v>13</v>
      </c>
      <c r="B35" s="239" t="s">
        <v>56</v>
      </c>
      <c r="C35" s="33" t="s">
        <v>23</v>
      </c>
    </row>
    <row r="36" spans="1:3" ht="15.6" x14ac:dyDescent="0.3">
      <c r="A36" s="33">
        <v>14</v>
      </c>
      <c r="B36" s="239" t="s">
        <v>61</v>
      </c>
      <c r="C36" s="33" t="s">
        <v>23</v>
      </c>
    </row>
    <row r="37" spans="1:3" ht="15.6" x14ac:dyDescent="0.3">
      <c r="A37" s="33">
        <v>15</v>
      </c>
      <c r="B37" s="239" t="s">
        <v>52</v>
      </c>
      <c r="C37" s="33" t="s">
        <v>23</v>
      </c>
    </row>
    <row r="38" spans="1:3" ht="15.6" x14ac:dyDescent="0.3">
      <c r="A38" s="33">
        <v>16</v>
      </c>
      <c r="B38" s="239" t="s">
        <v>57</v>
      </c>
      <c r="C38" s="33" t="s">
        <v>23</v>
      </c>
    </row>
    <row r="39" spans="1:3" ht="15.6" x14ac:dyDescent="0.3">
      <c r="A39" s="33">
        <v>17</v>
      </c>
      <c r="B39" s="239" t="s">
        <v>54</v>
      </c>
      <c r="C39" s="33" t="s">
        <v>23</v>
      </c>
    </row>
    <row r="40" spans="1:3" ht="15.6" x14ac:dyDescent="0.3">
      <c r="A40" s="33">
        <v>18</v>
      </c>
      <c r="B40" s="239" t="s">
        <v>62</v>
      </c>
      <c r="C40" s="33" t="s">
        <v>23</v>
      </c>
    </row>
    <row r="41" spans="1:3" s="33" customFormat="1" x14ac:dyDescent="0.3">
      <c r="A41"/>
      <c r="B41" s="280">
        <v>10</v>
      </c>
      <c r="C41" s="281">
        <f>IF(B41&gt;8,B41-1,B41)</f>
        <v>9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3</xdr:col>
                    <xdr:colOff>45720</xdr:colOff>
                    <xdr:row>7</xdr:row>
                    <xdr:rowOff>38100</xdr:rowOff>
                  </from>
                  <to>
                    <xdr:col>5</xdr:col>
                    <xdr:colOff>571500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3</xdr:col>
                    <xdr:colOff>60960</xdr:colOff>
                    <xdr:row>29</xdr:row>
                    <xdr:rowOff>38100</xdr:rowOff>
                  </from>
                  <to>
                    <xdr:col>5</xdr:col>
                    <xdr:colOff>571500</xdr:colOff>
                    <xdr:row>30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2"/>
  <sheetViews>
    <sheetView showGridLines="0" topLeftCell="A2" zoomScale="85" zoomScaleNormal="85" workbookViewId="0">
      <selection activeCell="B3" sqref="B3"/>
    </sheetView>
  </sheetViews>
  <sheetFormatPr defaultColWidth="0" defaultRowHeight="0" customHeight="1" zeroHeight="1" x14ac:dyDescent="0.3"/>
  <cols>
    <col min="1" max="1" width="4" style="33" customWidth="1"/>
    <col min="2" max="2" width="60.109375" style="33" customWidth="1"/>
    <col min="3" max="3" width="11.6640625" style="33" customWidth="1"/>
    <col min="4" max="4" width="7.6640625" style="33" customWidth="1"/>
    <col min="5" max="5" width="10" style="33" customWidth="1"/>
    <col min="6" max="7" width="12" style="33" customWidth="1"/>
    <col min="8" max="8" width="5.109375" style="123" customWidth="1"/>
    <col min="9" max="9" width="6.88671875" style="33" customWidth="1"/>
    <col min="10" max="10" width="5.109375" style="123" customWidth="1"/>
    <col min="11" max="11" width="6.88671875" style="33" customWidth="1"/>
    <col min="12" max="12" width="5.109375" style="123" customWidth="1"/>
    <col min="13" max="13" width="6.88671875" style="33" customWidth="1"/>
    <col min="14" max="14" width="5.109375" style="123" customWidth="1"/>
    <col min="15" max="15" width="6.88671875" style="33" customWidth="1"/>
    <col min="16" max="16" width="11.5546875" style="33" customWidth="1"/>
    <col min="17" max="17" width="5.109375" style="123" customWidth="1"/>
    <col min="18" max="18" width="6.88671875" style="33" customWidth="1"/>
    <col min="19" max="19" width="5.109375" style="123" customWidth="1"/>
    <col min="20" max="20" width="6.88671875" style="33" customWidth="1"/>
    <col min="21" max="21" width="5.109375" style="123" customWidth="1"/>
    <col min="22" max="22" width="6.88671875" style="33" customWidth="1"/>
    <col min="23" max="23" width="5.109375" style="123" customWidth="1"/>
    <col min="24" max="24" width="6.88671875" style="33" customWidth="1"/>
    <col min="25" max="25" width="11.5546875" style="33" customWidth="1"/>
    <col min="26" max="27" width="10.6640625" style="33" customWidth="1"/>
    <col min="28" max="28" width="9.109375" style="33" customWidth="1"/>
    <col min="29" max="30" width="0" style="33" hidden="1" customWidth="1"/>
    <col min="31" max="16384" width="9.109375" style="33" hidden="1"/>
  </cols>
  <sheetData>
    <row r="1" spans="1:28" ht="35.25" customHeight="1" x14ac:dyDescent="0.3">
      <c r="A1" s="10"/>
      <c r="B1" s="97" t="s">
        <v>101</v>
      </c>
      <c r="C1" s="84"/>
      <c r="D1" s="84"/>
      <c r="E1" s="84"/>
      <c r="F1" s="84"/>
      <c r="G1" s="84"/>
      <c r="H1" s="117"/>
      <c r="I1" s="84"/>
      <c r="J1" s="117"/>
      <c r="K1" s="84"/>
      <c r="L1" s="117"/>
      <c r="M1" s="84"/>
      <c r="N1" s="117"/>
      <c r="O1" s="84"/>
      <c r="P1" s="84"/>
      <c r="Q1" s="117"/>
      <c r="R1" s="84"/>
      <c r="S1" s="117"/>
      <c r="T1" s="84"/>
      <c r="U1" s="117"/>
      <c r="V1" s="84"/>
      <c r="W1" s="117"/>
      <c r="X1" s="84"/>
      <c r="Y1" s="84"/>
      <c r="Z1" s="84"/>
      <c r="AA1" s="84"/>
      <c r="AB1" s="84"/>
    </row>
    <row r="2" spans="1:28" s="42" customFormat="1" ht="5.0999999999999996" customHeight="1" x14ac:dyDescent="0.3">
      <c r="B2" s="124"/>
      <c r="C2" s="125"/>
      <c r="D2" s="125"/>
      <c r="E2" s="125"/>
      <c r="F2" s="125"/>
      <c r="G2" s="125"/>
      <c r="H2" s="126"/>
      <c r="I2" s="125"/>
      <c r="J2" s="126"/>
      <c r="K2" s="125"/>
      <c r="L2" s="126"/>
      <c r="M2" s="125"/>
      <c r="N2" s="126"/>
      <c r="O2" s="125"/>
      <c r="P2" s="125"/>
      <c r="Q2" s="126"/>
      <c r="R2" s="125"/>
      <c r="S2" s="126"/>
      <c r="T2" s="125"/>
      <c r="U2" s="126"/>
      <c r="V2" s="125"/>
      <c r="W2" s="126"/>
      <c r="X2" s="125"/>
      <c r="Y2" s="125"/>
      <c r="AB2" s="125"/>
    </row>
    <row r="3" spans="1:28" s="93" customFormat="1" ht="31.5" customHeight="1" x14ac:dyDescent="0.35">
      <c r="B3" s="286" t="s">
        <v>95</v>
      </c>
      <c r="C3" s="94"/>
      <c r="D3" s="94"/>
      <c r="E3" s="94"/>
      <c r="F3" s="94"/>
      <c r="H3" s="118"/>
      <c r="I3" s="94"/>
      <c r="J3" s="118"/>
      <c r="K3" s="94"/>
      <c r="L3" s="118"/>
      <c r="M3" s="95"/>
      <c r="N3" s="118"/>
      <c r="O3" s="95"/>
      <c r="P3" s="95"/>
      <c r="Q3" s="118"/>
      <c r="R3" s="95"/>
      <c r="S3" s="118"/>
      <c r="T3" s="95"/>
      <c r="U3" s="118"/>
      <c r="V3" s="95"/>
      <c r="W3" s="118"/>
      <c r="X3" s="95"/>
      <c r="Y3" s="95"/>
      <c r="Z3" s="94"/>
      <c r="AA3" s="96"/>
    </row>
    <row r="4" spans="1:28" ht="35.4" customHeight="1" thickBot="1" x14ac:dyDescent="0.5">
      <c r="B4" s="128" t="s">
        <v>188</v>
      </c>
      <c r="C4" s="13"/>
      <c r="D4" s="13"/>
      <c r="E4" s="13"/>
      <c r="F4" s="43"/>
      <c r="G4" s="13"/>
      <c r="H4" s="119"/>
      <c r="I4" s="13"/>
      <c r="J4" s="119"/>
      <c r="K4" s="13"/>
      <c r="L4" s="119"/>
      <c r="M4" s="14"/>
      <c r="N4" s="119"/>
      <c r="O4" s="14"/>
      <c r="P4" s="14"/>
      <c r="Q4" s="119"/>
      <c r="R4" s="14"/>
      <c r="S4" s="119"/>
      <c r="T4" s="14"/>
      <c r="U4" s="119"/>
      <c r="V4" s="14"/>
      <c r="W4" s="119"/>
      <c r="X4" s="14"/>
      <c r="Y4" s="14"/>
      <c r="Z4" s="13"/>
      <c r="AA4" s="15"/>
    </row>
    <row r="5" spans="1:28" ht="30.75" customHeight="1" thickTop="1" thickBot="1" x14ac:dyDescent="0.35">
      <c r="B5" s="338" t="s">
        <v>14</v>
      </c>
      <c r="C5" s="339" t="s">
        <v>18</v>
      </c>
      <c r="D5" s="339" t="s">
        <v>65</v>
      </c>
      <c r="E5" s="339" t="s">
        <v>19</v>
      </c>
      <c r="F5" s="343" t="s">
        <v>24</v>
      </c>
      <c r="G5" s="344"/>
      <c r="H5" s="343" t="s">
        <v>27</v>
      </c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3" t="s">
        <v>3</v>
      </c>
      <c r="AA5" s="344"/>
    </row>
    <row r="6" spans="1:28" ht="44.1" customHeight="1" thickTop="1" thickBot="1" x14ac:dyDescent="0.35">
      <c r="B6" s="338"/>
      <c r="C6" s="340"/>
      <c r="D6" s="340"/>
      <c r="E6" s="340"/>
      <c r="F6" s="345" t="s">
        <v>25</v>
      </c>
      <c r="G6" s="347" t="s">
        <v>26</v>
      </c>
      <c r="H6" s="343" t="s">
        <v>32</v>
      </c>
      <c r="I6" s="349"/>
      <c r="J6" s="349"/>
      <c r="K6" s="349"/>
      <c r="L6" s="349"/>
      <c r="M6" s="349"/>
      <c r="N6" s="349"/>
      <c r="O6" s="349"/>
      <c r="P6" s="349"/>
      <c r="Q6" s="343" t="s">
        <v>31</v>
      </c>
      <c r="R6" s="349"/>
      <c r="S6" s="349"/>
      <c r="T6" s="349"/>
      <c r="U6" s="349"/>
      <c r="V6" s="349"/>
      <c r="W6" s="349"/>
      <c r="X6" s="349"/>
      <c r="Y6" s="349"/>
      <c r="Z6" s="345" t="s">
        <v>9</v>
      </c>
      <c r="AA6" s="347" t="s">
        <v>17</v>
      </c>
    </row>
    <row r="7" spans="1:28" ht="49.5" customHeight="1" thickTop="1" thickBot="1" x14ac:dyDescent="0.35">
      <c r="B7" s="338"/>
      <c r="C7" s="341"/>
      <c r="D7" s="341"/>
      <c r="E7" s="341"/>
      <c r="F7" s="346"/>
      <c r="G7" s="348"/>
      <c r="H7" s="350" t="s">
        <v>117</v>
      </c>
      <c r="I7" s="351"/>
      <c r="J7" s="318" t="s">
        <v>28</v>
      </c>
      <c r="K7" s="318"/>
      <c r="L7" s="318" t="s">
        <v>29</v>
      </c>
      <c r="M7" s="318"/>
      <c r="N7" s="317" t="s">
        <v>30</v>
      </c>
      <c r="O7" s="318"/>
      <c r="P7" s="163" t="s">
        <v>118</v>
      </c>
      <c r="Q7" s="350" t="s">
        <v>117</v>
      </c>
      <c r="R7" s="351"/>
      <c r="S7" s="318" t="s">
        <v>28</v>
      </c>
      <c r="T7" s="318"/>
      <c r="U7" s="318" t="s">
        <v>29</v>
      </c>
      <c r="V7" s="318"/>
      <c r="W7" s="317" t="s">
        <v>30</v>
      </c>
      <c r="X7" s="318"/>
      <c r="Y7" s="163" t="s">
        <v>118</v>
      </c>
      <c r="Z7" s="346"/>
      <c r="AA7" s="348"/>
    </row>
    <row r="8" spans="1:28" s="8" customFormat="1" ht="21.75" customHeight="1" thickTop="1" thickBot="1" x14ac:dyDescent="0.35">
      <c r="B8" s="25" t="str">
        <f>INDEX(Q1_Adult,14,2)</f>
        <v>Bristol, Bristol Heart Institute</v>
      </c>
      <c r="C8" s="25" t="s">
        <v>20</v>
      </c>
      <c r="D8" s="57">
        <v>1</v>
      </c>
      <c r="E8" s="25" t="s">
        <v>21</v>
      </c>
      <c r="F8" s="65">
        <f>INDEX(Q1_Adult,14,7)</f>
        <v>22</v>
      </c>
      <c r="G8" s="71" t="str">
        <f>INDEX(Q1_Adult,14,8)</f>
        <v>N/A</v>
      </c>
      <c r="H8" s="213">
        <f>INDEX(Q1_Adult,14,9)</f>
        <v>654</v>
      </c>
      <c r="I8" s="203">
        <f>IFERROR(H8/P8,0)</f>
        <v>0.44369063772048845</v>
      </c>
      <c r="J8" s="204">
        <f>INDEX(Q1_Adult,14,10)</f>
        <v>446</v>
      </c>
      <c r="K8" s="203">
        <f>IFERROR(J8/P8,0)</f>
        <v>0.30257801899592945</v>
      </c>
      <c r="L8" s="204">
        <f>INDEX(Q1_Adult,14,11)</f>
        <v>284</v>
      </c>
      <c r="M8" s="203">
        <f>IFERROR(L8/P8,0)</f>
        <v>0.19267299864314791</v>
      </c>
      <c r="N8" s="204">
        <f>INDEX(Q1_Adult,14,12)</f>
        <v>90</v>
      </c>
      <c r="O8" s="203">
        <f>IFERROR(N8/P8,0)</f>
        <v>6.1058344640434192E-2</v>
      </c>
      <c r="P8" s="205">
        <f>INDEX(Q1_Adult,14,13)</f>
        <v>1474</v>
      </c>
      <c r="Q8" s="202" t="str">
        <f>INDEX(Q1_Adult,14,15)</f>
        <v>N/A</v>
      </c>
      <c r="R8" s="203">
        <f>IFERROR(Q8/Y8,0)</f>
        <v>0</v>
      </c>
      <c r="S8" s="204" t="str">
        <f>INDEX(Q1_Adult,14,16)</f>
        <v>N/A</v>
      </c>
      <c r="T8" s="203">
        <f>IFERROR(S8/Y8,0)</f>
        <v>0</v>
      </c>
      <c r="U8" s="206" t="str">
        <f>INDEX(Q1_Adult,14,17)</f>
        <v>N/A</v>
      </c>
      <c r="V8" s="203">
        <f>IFERROR(U8/Y8,0)</f>
        <v>0</v>
      </c>
      <c r="W8" s="204" t="str">
        <f>INDEX(Q1_Adult,14,18)</f>
        <v>N/A</v>
      </c>
      <c r="X8" s="203">
        <f>IFERROR(W8/Y8,0)</f>
        <v>0</v>
      </c>
      <c r="Y8" s="114">
        <f>INDEX(Q1_Adult,14,19)</f>
        <v>0</v>
      </c>
      <c r="Z8" s="67">
        <f>INDEX(Q1_Adult,14,21)</f>
        <v>0.08</v>
      </c>
      <c r="AA8" s="68">
        <f>INDEX(Q1_Adult,14,22)</f>
        <v>0</v>
      </c>
    </row>
    <row r="9" spans="1:28" s="8" customFormat="1" ht="21.75" customHeight="1" thickTop="1" thickBot="1" x14ac:dyDescent="0.35">
      <c r="B9" s="26" t="str">
        <f>INDEX(Q1_Adult,6,2)</f>
        <v>University Hospital Wales</v>
      </c>
      <c r="C9" s="26" t="s">
        <v>20</v>
      </c>
      <c r="D9" s="58">
        <v>2</v>
      </c>
      <c r="E9" s="26" t="s">
        <v>22</v>
      </c>
      <c r="F9" s="66" t="str">
        <f>INDEX(Q1_Adult,6,7)</f>
        <v>No data</v>
      </c>
      <c r="G9" s="72" t="str">
        <f>INDEX(Q1_Adult,6,8)</f>
        <v>No data</v>
      </c>
      <c r="H9" s="207" t="str">
        <f>INDEX(Q1_Adult,6,9)</f>
        <v>No data</v>
      </c>
      <c r="I9" s="208">
        <f>IFERROR(H9/P9,0)</f>
        <v>0</v>
      </c>
      <c r="J9" s="209" t="str">
        <f>INDEX(Q1_Adult,6,10)</f>
        <v>No data</v>
      </c>
      <c r="K9" s="208">
        <f>IFERROR(J9/P9,0)</f>
        <v>0</v>
      </c>
      <c r="L9" s="209" t="str">
        <f>INDEX(Q1_Adult,6,11)</f>
        <v>No data</v>
      </c>
      <c r="M9" s="208">
        <f>IFERROR(L9/P9,0)</f>
        <v>0</v>
      </c>
      <c r="N9" s="209" t="str">
        <f>INDEX(Q1_Adult,6,12)</f>
        <v>No data</v>
      </c>
      <c r="O9" s="208">
        <f>IFERROR(N9/P9,0)</f>
        <v>0</v>
      </c>
      <c r="P9" s="210" t="str">
        <f>INDEX(Q1_Adult,6,13)</f>
        <v>No data</v>
      </c>
      <c r="Q9" s="211" t="str">
        <f>INDEX(Q1_Adult,6,15)</f>
        <v>No data</v>
      </c>
      <c r="R9" s="208">
        <f>IFERROR(Q9/Y9,0)</f>
        <v>0</v>
      </c>
      <c r="S9" s="209" t="str">
        <f>INDEX(Q1_Adult,6,16)</f>
        <v>No data</v>
      </c>
      <c r="T9" s="208">
        <f>IFERROR(S9/Y9,0)</f>
        <v>0</v>
      </c>
      <c r="U9" s="212" t="str">
        <f>INDEX(Q1_Adult,6,17)</f>
        <v>No data</v>
      </c>
      <c r="V9" s="208">
        <f>IFERROR(U9/Y9,0)</f>
        <v>0</v>
      </c>
      <c r="W9" s="209" t="str">
        <f>INDEX(Q1_Adult,6,18)</f>
        <v>No data</v>
      </c>
      <c r="X9" s="208">
        <f>IFERROR(W9/Y9,0)</f>
        <v>0</v>
      </c>
      <c r="Y9" s="115" t="str">
        <f>INDEX(Q1_Adult,6,19)</f>
        <v>No data</v>
      </c>
      <c r="Z9" s="69" t="str">
        <f>INDEX(Q1_Adult,6,21)</f>
        <v>No data</v>
      </c>
      <c r="AA9" s="70" t="str">
        <f>INDEX(Q1_Adult,6,22)</f>
        <v>No data</v>
      </c>
    </row>
    <row r="10" spans="1:28" s="83" customFormat="1" ht="21.75" customHeight="1" thickTop="1" thickBot="1" x14ac:dyDescent="0.35">
      <c r="B10" s="25" t="str">
        <f>INDEX(Q1_Adult,5,2)</f>
        <v>Aneurin Bevan UHB, Nevill Hall &amp; Royal Gwent Hospitals</v>
      </c>
      <c r="C10" s="25" t="s">
        <v>20</v>
      </c>
      <c r="D10" s="57">
        <v>3</v>
      </c>
      <c r="E10" s="25" t="s">
        <v>22</v>
      </c>
      <c r="F10" s="65">
        <f>INDEX(Q1_Adult,5,7)</f>
        <v>0</v>
      </c>
      <c r="G10" s="71">
        <f>INDEX(Q1_Adult,5,8)</f>
        <v>0</v>
      </c>
      <c r="H10" s="213">
        <f>INDEX(Q1_Adult,5,9)</f>
        <v>0</v>
      </c>
      <c r="I10" s="203">
        <f>IFERROR(H10/P10,0)</f>
        <v>0</v>
      </c>
      <c r="J10" s="204">
        <f>INDEX(Q1_Adult,5,10)</f>
        <v>0</v>
      </c>
      <c r="K10" s="203">
        <f>IFERROR(J10/P10,0)</f>
        <v>0</v>
      </c>
      <c r="L10" s="204">
        <f>INDEX(Q1_Adult,5,11)</f>
        <v>0</v>
      </c>
      <c r="M10" s="203">
        <f>IFERROR(L10/P10,0)</f>
        <v>0</v>
      </c>
      <c r="N10" s="204">
        <f>INDEX(Q1_Adult,5,12)</f>
        <v>0</v>
      </c>
      <c r="O10" s="203">
        <f>IFERROR(N10/P10,0)</f>
        <v>0</v>
      </c>
      <c r="P10" s="205">
        <f>INDEX(Q1_Adult,5,13)</f>
        <v>0</v>
      </c>
      <c r="Q10" s="202">
        <f>INDEX(Q1_Adult,5,15)</f>
        <v>16</v>
      </c>
      <c r="R10" s="203">
        <f>IFERROR(Q10/Y10,0)</f>
        <v>7.5117370892018781E-2</v>
      </c>
      <c r="S10" s="204">
        <f>INDEX(Q1_Adult,5,16)</f>
        <v>28</v>
      </c>
      <c r="T10" s="203">
        <f>IFERROR(S10/Y10,0)</f>
        <v>0.13145539906103287</v>
      </c>
      <c r="U10" s="206">
        <f>INDEX(Q1_Adult,5,17)</f>
        <v>53</v>
      </c>
      <c r="V10" s="203">
        <f>IFERROR(U10/Y10,0)</f>
        <v>0.24882629107981222</v>
      </c>
      <c r="W10" s="204">
        <f>INDEX(Q1_Adult,5,18)</f>
        <v>116</v>
      </c>
      <c r="X10" s="203">
        <f>IFERROR(W10/Y10,0)</f>
        <v>0.54460093896713613</v>
      </c>
      <c r="Y10" s="114">
        <f>INDEX(Q1_Adult,5,19)</f>
        <v>213</v>
      </c>
      <c r="Z10" s="67">
        <f>INDEX(Q1_Adult,5,21)</f>
        <v>0</v>
      </c>
      <c r="AA10" s="68">
        <f>INDEX(Q1_Adult,5,22)</f>
        <v>0</v>
      </c>
    </row>
    <row r="11" spans="1:28" s="8" customFormat="1" ht="21.75" customHeight="1" thickTop="1" thickBot="1" x14ac:dyDescent="0.35">
      <c r="B11" s="26" t="str">
        <f>INDEX(Q1_Adult,7,2)</f>
        <v>Cwm Taf Morgannwg UHB, Princess of Wales Hospital</v>
      </c>
      <c r="C11" s="26" t="s">
        <v>20</v>
      </c>
      <c r="D11" s="58">
        <v>3</v>
      </c>
      <c r="E11" s="26" t="s">
        <v>22</v>
      </c>
      <c r="F11" s="66">
        <f>INDEX(Q1_Adult,7,7)</f>
        <v>0</v>
      </c>
      <c r="G11" s="72">
        <f>INDEX(Q1_Adult,7,8)</f>
        <v>0</v>
      </c>
      <c r="H11" s="207">
        <f>INDEX(Q1_Adult,7,9)</f>
        <v>0</v>
      </c>
      <c r="I11" s="208">
        <f t="shared" ref="I11:I24" si="0">IFERROR(H11/P11,0)</f>
        <v>0</v>
      </c>
      <c r="J11" s="209">
        <f>INDEX(Q1_Adult,7,10)</f>
        <v>0</v>
      </c>
      <c r="K11" s="208">
        <f t="shared" ref="K11:K24" si="1">IFERROR(J11/P11,0)</f>
        <v>0</v>
      </c>
      <c r="L11" s="209">
        <f>INDEX(Q1_Adult,7,11)</f>
        <v>0</v>
      </c>
      <c r="M11" s="208">
        <f t="shared" ref="M11:M24" si="2">IFERROR(L11/P11,0)</f>
        <v>0</v>
      </c>
      <c r="N11" s="209">
        <f>INDEX(Q1_Adult,7,12)</f>
        <v>0</v>
      </c>
      <c r="O11" s="208">
        <f t="shared" ref="O11:O24" si="3">IFERROR(N11/P11,0)</f>
        <v>0</v>
      </c>
      <c r="P11" s="210">
        <f>INDEX(Q1_Adult,7,13)</f>
        <v>0</v>
      </c>
      <c r="Q11" s="211">
        <f>INDEX(Q1_Adult,7,15)</f>
        <v>38</v>
      </c>
      <c r="R11" s="208">
        <f t="shared" ref="R11:R24" si="4">IFERROR(Q11/Y11,0)</f>
        <v>0.11209439528023599</v>
      </c>
      <c r="S11" s="209">
        <f>INDEX(Q1_Adult,7,16)</f>
        <v>41</v>
      </c>
      <c r="T11" s="208">
        <f t="shared" ref="T11:T24" si="5">IFERROR(S11/Y11,0)</f>
        <v>0.12094395280235988</v>
      </c>
      <c r="U11" s="212">
        <f>INDEX(Q1_Adult,7,17)</f>
        <v>93</v>
      </c>
      <c r="V11" s="208">
        <f t="shared" ref="V11:V24" si="6">IFERROR(U11/Y11,0)</f>
        <v>0.27433628318584069</v>
      </c>
      <c r="W11" s="209">
        <f>INDEX(Q1_Adult,7,18)</f>
        <v>167</v>
      </c>
      <c r="X11" s="208">
        <f t="shared" ref="X11:X24" si="7">IFERROR(W11/Y11,0)</f>
        <v>0.49262536873156343</v>
      </c>
      <c r="Y11" s="115">
        <f>INDEX(Q1_Adult,7,19)</f>
        <v>339</v>
      </c>
      <c r="Z11" s="69">
        <f>INDEX(Q1_Adult,7,21)</f>
        <v>0</v>
      </c>
      <c r="AA11" s="70">
        <f>INDEX(Q1_Adult,7,22)</f>
        <v>0</v>
      </c>
    </row>
    <row r="12" spans="1:28" s="8" customFormat="1" ht="21.75" customHeight="1" thickTop="1" thickBot="1" x14ac:dyDescent="0.35">
      <c r="B12" s="25" t="str">
        <f>INDEX(Q1_Adult,8,2)</f>
        <v xml:space="preserve">Cwm Taf Morgannwg UHB, Royal Glamorgan Hospital </v>
      </c>
      <c r="C12" s="25" t="s">
        <v>20</v>
      </c>
      <c r="D12" s="57">
        <v>3</v>
      </c>
      <c r="E12" s="25" t="s">
        <v>22</v>
      </c>
      <c r="F12" s="65">
        <f>INDEX(Q1_Adult,8,7)</f>
        <v>0</v>
      </c>
      <c r="G12" s="71">
        <f>INDEX(Q1_Adult,8,8)</f>
        <v>0</v>
      </c>
      <c r="H12" s="213">
        <f>INDEX(Q1_Adult,8,9)</f>
        <v>0</v>
      </c>
      <c r="I12" s="203">
        <f t="shared" si="0"/>
        <v>0</v>
      </c>
      <c r="J12" s="204">
        <f>INDEX(Q1_Adult,8,10)</f>
        <v>0</v>
      </c>
      <c r="K12" s="203">
        <f t="shared" si="1"/>
        <v>0</v>
      </c>
      <c r="L12" s="204">
        <f>INDEX(Q1_Adult,8,11)</f>
        <v>0</v>
      </c>
      <c r="M12" s="203">
        <f t="shared" si="2"/>
        <v>0</v>
      </c>
      <c r="N12" s="204">
        <f>INDEX(Q1_Adult,8,12)</f>
        <v>0</v>
      </c>
      <c r="O12" s="203">
        <f t="shared" si="3"/>
        <v>0</v>
      </c>
      <c r="P12" s="205">
        <f>INDEX(Q1_Adult,8,13)</f>
        <v>0</v>
      </c>
      <c r="Q12" s="202">
        <f>INDEX(Q1_Adult,8,15)</f>
        <v>0</v>
      </c>
      <c r="R12" s="203">
        <f t="shared" si="4"/>
        <v>0</v>
      </c>
      <c r="S12" s="204">
        <f>INDEX(Q1_Adult,8,16)</f>
        <v>0</v>
      </c>
      <c r="T12" s="203">
        <f t="shared" si="5"/>
        <v>0</v>
      </c>
      <c r="U12" s="206">
        <f>INDEX(Q1_Adult,8,17)</f>
        <v>0</v>
      </c>
      <c r="V12" s="203">
        <f t="shared" si="6"/>
        <v>0</v>
      </c>
      <c r="W12" s="204">
        <f>INDEX(Q1_Adult,8,18)</f>
        <v>0</v>
      </c>
      <c r="X12" s="203">
        <f t="shared" si="7"/>
        <v>0</v>
      </c>
      <c r="Y12" s="114">
        <f>INDEX(Q1_Adult,8,19)</f>
        <v>0</v>
      </c>
      <c r="Z12" s="67">
        <f>INDEX(Q1_Adult,8,21)</f>
        <v>0</v>
      </c>
      <c r="AA12" s="68">
        <f>INDEX(Q1_Adult,8,22)</f>
        <v>0</v>
      </c>
    </row>
    <row r="13" spans="1:28" s="8" customFormat="1" ht="21.75" customHeight="1" thickTop="1" thickBot="1" x14ac:dyDescent="0.35">
      <c r="B13" s="26" t="str">
        <f>INDEX(Q1_Adult,9,2)</f>
        <v>Cwm Taf Morgannwg UHB, Prince Charles Hospital</v>
      </c>
      <c r="C13" s="26" t="s">
        <v>20</v>
      </c>
      <c r="D13" s="58">
        <v>3</v>
      </c>
      <c r="E13" s="26" t="s">
        <v>22</v>
      </c>
      <c r="F13" s="66">
        <f>INDEX(Q1_Adult,9,7)</f>
        <v>0</v>
      </c>
      <c r="G13" s="72">
        <f>INDEX(Q1_Adult,9,8)</f>
        <v>0</v>
      </c>
      <c r="H13" s="207">
        <f>INDEX(Q1_Adult,9,9)</f>
        <v>0</v>
      </c>
      <c r="I13" s="208">
        <f t="shared" si="0"/>
        <v>0</v>
      </c>
      <c r="J13" s="209">
        <f>INDEX(Q1_Adult,9,10)</f>
        <v>0</v>
      </c>
      <c r="K13" s="208">
        <f t="shared" si="1"/>
        <v>0</v>
      </c>
      <c r="L13" s="209">
        <f>INDEX(Q1_Adult,9,11)</f>
        <v>0</v>
      </c>
      <c r="M13" s="208">
        <f t="shared" si="2"/>
        <v>0</v>
      </c>
      <c r="N13" s="209">
        <f>INDEX(Q1_Adult,9,12)</f>
        <v>0</v>
      </c>
      <c r="O13" s="208">
        <f t="shared" si="3"/>
        <v>0</v>
      </c>
      <c r="P13" s="210">
        <f>INDEX(Q1_Adult,9,13)</f>
        <v>0</v>
      </c>
      <c r="Q13" s="211">
        <f>INDEX(Q1_Adult,9,15)</f>
        <v>0</v>
      </c>
      <c r="R13" s="208">
        <f t="shared" si="4"/>
        <v>0</v>
      </c>
      <c r="S13" s="209">
        <f>INDEX(Q1_Adult,9,16)</f>
        <v>0</v>
      </c>
      <c r="T13" s="208">
        <f t="shared" si="5"/>
        <v>0</v>
      </c>
      <c r="U13" s="212">
        <f>INDEX(Q1_Adult,9,17)</f>
        <v>0</v>
      </c>
      <c r="V13" s="208">
        <f t="shared" si="6"/>
        <v>0</v>
      </c>
      <c r="W13" s="209">
        <f>INDEX(Q1_Adult,9,18)</f>
        <v>0</v>
      </c>
      <c r="X13" s="208">
        <f t="shared" si="7"/>
        <v>0</v>
      </c>
      <c r="Y13" s="115">
        <f>INDEX(Q1_Adult,9,19)</f>
        <v>0</v>
      </c>
      <c r="Z13" s="69">
        <f>INDEX(Q1_Adult,9,21)</f>
        <v>0</v>
      </c>
      <c r="AA13" s="70">
        <f>INDEX(Q1_Adult,9,22)</f>
        <v>0</v>
      </c>
    </row>
    <row r="14" spans="1:28" s="8" customFormat="1" ht="21.75" customHeight="1" thickTop="1" thickBot="1" x14ac:dyDescent="0.35">
      <c r="B14" s="25" t="str">
        <f>INDEX(Q1_Adult,10,2)</f>
        <v>Hywel Dda UHB, Glangwilli Hospital</v>
      </c>
      <c r="C14" s="25" t="s">
        <v>20</v>
      </c>
      <c r="D14" s="57">
        <v>3</v>
      </c>
      <c r="E14" s="25" t="s">
        <v>22</v>
      </c>
      <c r="F14" s="65">
        <f>INDEX(Q1_Adult,10,7)</f>
        <v>0</v>
      </c>
      <c r="G14" s="71">
        <f>INDEX(Q1_Adult,10,8)</f>
        <v>13</v>
      </c>
      <c r="H14" s="213">
        <f>INDEX(Q1_Adult,10,9)</f>
        <v>0</v>
      </c>
      <c r="I14" s="203">
        <f t="shared" si="0"/>
        <v>0</v>
      </c>
      <c r="J14" s="204">
        <f>INDEX(Q1_Adult,10,10)</f>
        <v>0</v>
      </c>
      <c r="K14" s="203">
        <f t="shared" si="1"/>
        <v>0</v>
      </c>
      <c r="L14" s="204">
        <f>INDEX(Q1_Adult,10,11)</f>
        <v>0</v>
      </c>
      <c r="M14" s="203">
        <f t="shared" si="2"/>
        <v>0</v>
      </c>
      <c r="N14" s="204">
        <f>INDEX(Q1_Adult,10,12)</f>
        <v>0</v>
      </c>
      <c r="O14" s="203">
        <f t="shared" si="3"/>
        <v>0</v>
      </c>
      <c r="P14" s="205">
        <f>INDEX(Q1_Adult,10,13)</f>
        <v>0</v>
      </c>
      <c r="Q14" s="202">
        <f>INDEX(Q1_Adult,10,15)</f>
        <v>19</v>
      </c>
      <c r="R14" s="203">
        <f t="shared" si="4"/>
        <v>0.12258064516129032</v>
      </c>
      <c r="S14" s="204">
        <f>INDEX(Q1_Adult,10,16)</f>
        <v>30</v>
      </c>
      <c r="T14" s="203">
        <f t="shared" si="5"/>
        <v>0.19354838709677419</v>
      </c>
      <c r="U14" s="206">
        <f>INDEX(Q1_Adult,10,17)</f>
        <v>53</v>
      </c>
      <c r="V14" s="203">
        <f t="shared" si="6"/>
        <v>0.34193548387096773</v>
      </c>
      <c r="W14" s="204">
        <f>INDEX(Q1_Adult,10,18)</f>
        <v>53</v>
      </c>
      <c r="X14" s="203">
        <f t="shared" si="7"/>
        <v>0.34193548387096773</v>
      </c>
      <c r="Y14" s="114">
        <f>INDEX(Q1_Adult,10,19)</f>
        <v>155</v>
      </c>
      <c r="Z14" s="67">
        <f>INDEX(Q1_Adult,10,21)</f>
        <v>0</v>
      </c>
      <c r="AA14" s="68">
        <f>INDEX(Q1_Adult,10,22)</f>
        <v>7.4999999999999997E-2</v>
      </c>
    </row>
    <row r="15" spans="1:28" s="8" customFormat="1" ht="21.75" customHeight="1" thickTop="1" thickBot="1" x14ac:dyDescent="0.35">
      <c r="B15" s="26" t="str">
        <f>INDEX(Q1_Adult,11,2)</f>
        <v>Hywel Dda UHB, Withybush Hospital</v>
      </c>
      <c r="C15" s="26" t="s">
        <v>20</v>
      </c>
      <c r="D15" s="58">
        <v>3</v>
      </c>
      <c r="E15" s="26" t="s">
        <v>22</v>
      </c>
      <c r="F15" s="66">
        <f>INDEX(Q1_Adult,11,7)</f>
        <v>0</v>
      </c>
      <c r="G15" s="72">
        <f>INDEX(Q1_Adult,11,8)</f>
        <v>0</v>
      </c>
      <c r="H15" s="207">
        <f>INDEX(Q1_Adult,11,9)</f>
        <v>0</v>
      </c>
      <c r="I15" s="208">
        <f t="shared" si="0"/>
        <v>0</v>
      </c>
      <c r="J15" s="209">
        <f>INDEX(Q1_Adult,11,10)</f>
        <v>0</v>
      </c>
      <c r="K15" s="208">
        <f t="shared" si="1"/>
        <v>0</v>
      </c>
      <c r="L15" s="209">
        <f>INDEX(Q1_Adult,11,11)</f>
        <v>0</v>
      </c>
      <c r="M15" s="208">
        <f t="shared" si="2"/>
        <v>0</v>
      </c>
      <c r="N15" s="209">
        <f>INDEX(Q1_Adult,11,12)</f>
        <v>0</v>
      </c>
      <c r="O15" s="208">
        <f t="shared" si="3"/>
        <v>0</v>
      </c>
      <c r="P15" s="210">
        <f>INDEX(Q1_Adult,11,13)</f>
        <v>0</v>
      </c>
      <c r="Q15" s="211">
        <f>INDEX(Q1_Adult,11,15)</f>
        <v>4</v>
      </c>
      <c r="R15" s="208">
        <f t="shared" si="4"/>
        <v>0.5</v>
      </c>
      <c r="S15" s="209">
        <f>INDEX(Q1_Adult,11,16)</f>
        <v>0</v>
      </c>
      <c r="T15" s="208">
        <f t="shared" si="5"/>
        <v>0</v>
      </c>
      <c r="U15" s="212">
        <f>INDEX(Q1_Adult,11,17)</f>
        <v>3</v>
      </c>
      <c r="V15" s="208">
        <f t="shared" si="6"/>
        <v>0.375</v>
      </c>
      <c r="W15" s="209">
        <f>INDEX(Q1_Adult,11,18)</f>
        <v>1</v>
      </c>
      <c r="X15" s="208">
        <f t="shared" si="7"/>
        <v>0.125</v>
      </c>
      <c r="Y15" s="115">
        <f>INDEX(Q1_Adult,11,19)</f>
        <v>8</v>
      </c>
      <c r="Z15" s="69">
        <f>INDEX(Q1_Adult,11,21)</f>
        <v>0</v>
      </c>
      <c r="AA15" s="70">
        <f>INDEX(Q1_Adult,11,22)</f>
        <v>0</v>
      </c>
    </row>
    <row r="16" spans="1:28" s="8" customFormat="1" ht="21.75" customHeight="1" thickTop="1" thickBot="1" x14ac:dyDescent="0.35">
      <c r="B16" s="25" t="str">
        <f>INDEX(Q1_Adult,12,2)</f>
        <v>Swansea Bay UHB, Morriston / Singleton Hospitals</v>
      </c>
      <c r="C16" s="25" t="s">
        <v>20</v>
      </c>
      <c r="D16" s="57">
        <v>3</v>
      </c>
      <c r="E16" s="25" t="s">
        <v>22</v>
      </c>
      <c r="F16" s="65">
        <f>INDEX(Q1_Adult,12,7)</f>
        <v>93</v>
      </c>
      <c r="G16" s="71">
        <f>INDEX(Q1_Adult,12,8)</f>
        <v>0</v>
      </c>
      <c r="H16" s="213">
        <f>INDEX(Q1_Adult,12,9)</f>
        <v>20</v>
      </c>
      <c r="I16" s="203">
        <f t="shared" si="0"/>
        <v>0.13793103448275862</v>
      </c>
      <c r="J16" s="204">
        <f>INDEX(Q1_Adult,12,10)</f>
        <v>33</v>
      </c>
      <c r="K16" s="203">
        <f t="shared" si="1"/>
        <v>0.22758620689655173</v>
      </c>
      <c r="L16" s="204">
        <f>INDEX(Q1_Adult,12,11)</f>
        <v>31</v>
      </c>
      <c r="M16" s="203">
        <f t="shared" si="2"/>
        <v>0.21379310344827587</v>
      </c>
      <c r="N16" s="204">
        <f>INDEX(Q1_Adult,12,12)</f>
        <v>61</v>
      </c>
      <c r="O16" s="203">
        <f t="shared" si="3"/>
        <v>0.4206896551724138</v>
      </c>
      <c r="P16" s="205">
        <f>INDEX(Q1_Adult,12,13)</f>
        <v>145</v>
      </c>
      <c r="Q16" s="202">
        <f>INDEX(Q1_Adult,12,15)</f>
        <v>0</v>
      </c>
      <c r="R16" s="203">
        <f t="shared" si="4"/>
        <v>0</v>
      </c>
      <c r="S16" s="204">
        <f>INDEX(Q1_Adult,12,16)</f>
        <v>0</v>
      </c>
      <c r="T16" s="203">
        <f t="shared" si="5"/>
        <v>0</v>
      </c>
      <c r="U16" s="206">
        <f>INDEX(Q1_Adult,12,17)</f>
        <v>0</v>
      </c>
      <c r="V16" s="203">
        <f t="shared" si="6"/>
        <v>0</v>
      </c>
      <c r="W16" s="204">
        <f>INDEX(Q1_Adult,12,18)</f>
        <v>0</v>
      </c>
      <c r="X16" s="203">
        <f t="shared" si="7"/>
        <v>0</v>
      </c>
      <c r="Y16" s="114">
        <f>INDEX(Q1_Adult,12,19)</f>
        <v>0</v>
      </c>
      <c r="Z16" s="67">
        <f>INDEX(Q1_Adult,12,21)</f>
        <v>0</v>
      </c>
      <c r="AA16" s="68">
        <f>INDEX(Q1_Adult,12,22)</f>
        <v>0</v>
      </c>
    </row>
    <row r="17" spans="2:27" s="8" customFormat="1" ht="21.75" customHeight="1" thickTop="1" thickBot="1" x14ac:dyDescent="0.35">
      <c r="B17" s="26" t="str">
        <f>INDEX(Q1_Adult,13,2)</f>
        <v xml:space="preserve">Barnstaple, North Devon District Hospital </v>
      </c>
      <c r="C17" s="26" t="s">
        <v>20</v>
      </c>
      <c r="D17" s="58">
        <v>3</v>
      </c>
      <c r="E17" s="26" t="s">
        <v>21</v>
      </c>
      <c r="F17" s="66">
        <f>INDEX(Q1_Adult,13,7)</f>
        <v>27</v>
      </c>
      <c r="G17" s="72">
        <f>INDEX(Q1_Adult,13,8)</f>
        <v>27</v>
      </c>
      <c r="H17" s="207">
        <f>INDEX(Q1_Adult,13,9)</f>
        <v>18</v>
      </c>
      <c r="I17" s="208">
        <f t="shared" si="0"/>
        <v>0.22784810126582278</v>
      </c>
      <c r="J17" s="209">
        <f>INDEX(Q1_Adult,13,10)</f>
        <v>23</v>
      </c>
      <c r="K17" s="208">
        <f t="shared" si="1"/>
        <v>0.29113924050632911</v>
      </c>
      <c r="L17" s="209">
        <f>INDEX(Q1_Adult,13,11)</f>
        <v>24</v>
      </c>
      <c r="M17" s="208">
        <f t="shared" si="2"/>
        <v>0.30379746835443039</v>
      </c>
      <c r="N17" s="209">
        <f>INDEX(Q1_Adult,13,12)</f>
        <v>14</v>
      </c>
      <c r="O17" s="208">
        <f t="shared" si="3"/>
        <v>0.17721518987341772</v>
      </c>
      <c r="P17" s="210">
        <f>INDEX(Q1_Adult,13,13)</f>
        <v>79</v>
      </c>
      <c r="Q17" s="211">
        <f>INDEX(Q1_Adult,13,15)</f>
        <v>18</v>
      </c>
      <c r="R17" s="208">
        <f t="shared" si="4"/>
        <v>0.22784810126582278</v>
      </c>
      <c r="S17" s="209">
        <f>INDEX(Q1_Adult,13,16)</f>
        <v>23</v>
      </c>
      <c r="T17" s="208">
        <f t="shared" si="5"/>
        <v>0.29113924050632911</v>
      </c>
      <c r="U17" s="212">
        <f>INDEX(Q1_Adult,13,17)</f>
        <v>24</v>
      </c>
      <c r="V17" s="208">
        <f t="shared" si="6"/>
        <v>0.30379746835443039</v>
      </c>
      <c r="W17" s="209">
        <f>INDEX(Q1_Adult,13,18)</f>
        <v>14</v>
      </c>
      <c r="X17" s="208">
        <f t="shared" si="7"/>
        <v>0.17721518987341772</v>
      </c>
      <c r="Y17" s="115">
        <f>INDEX(Q1_Adult,13,19)</f>
        <v>79</v>
      </c>
      <c r="Z17" s="69">
        <f>INDEX(Q1_Adult,13,21)</f>
        <v>0.14000000000000001</v>
      </c>
      <c r="AA17" s="70">
        <f>INDEX(Q1_Adult,13,22)</f>
        <v>0.14000000000000001</v>
      </c>
    </row>
    <row r="18" spans="2:27" s="8" customFormat="1" ht="21.75" customHeight="1" thickTop="1" thickBot="1" x14ac:dyDescent="0.35">
      <c r="B18" s="25" t="str">
        <f>INDEX(Q1_Adult,15,2)</f>
        <v xml:space="preserve">Exeter, Royal Devon and Exeter Hospital </v>
      </c>
      <c r="C18" s="25" t="s">
        <v>20</v>
      </c>
      <c r="D18" s="57">
        <v>3</v>
      </c>
      <c r="E18" s="25" t="s">
        <v>21</v>
      </c>
      <c r="F18" s="65" t="str">
        <f>INDEX(Q1_Adult,15,7)</f>
        <v>No data</v>
      </c>
      <c r="G18" s="71" t="str">
        <f>INDEX(Q1_Adult,15,8)</f>
        <v>No data</v>
      </c>
      <c r="H18" s="213" t="str">
        <f>INDEX(Q1_Adult,15,9)</f>
        <v>No data</v>
      </c>
      <c r="I18" s="203">
        <f t="shared" si="0"/>
        <v>0</v>
      </c>
      <c r="J18" s="204" t="str">
        <f>INDEX(Q1_Adult,15,10)</f>
        <v>No data</v>
      </c>
      <c r="K18" s="203">
        <f t="shared" si="1"/>
        <v>0</v>
      </c>
      <c r="L18" s="204" t="str">
        <f>INDEX(Q1_Adult,15,11)</f>
        <v>No data</v>
      </c>
      <c r="M18" s="203">
        <f t="shared" si="2"/>
        <v>0</v>
      </c>
      <c r="N18" s="204" t="str">
        <f>INDEX(Q1_Adult,15,12)</f>
        <v>No data</v>
      </c>
      <c r="O18" s="203">
        <f t="shared" si="3"/>
        <v>0</v>
      </c>
      <c r="P18" s="205" t="str">
        <f>INDEX(Q1_Adult,15,13)</f>
        <v>No data</v>
      </c>
      <c r="Q18" s="202" t="str">
        <f>INDEX(Q1_Adult,15,15)</f>
        <v>No data</v>
      </c>
      <c r="R18" s="203">
        <f t="shared" si="4"/>
        <v>0</v>
      </c>
      <c r="S18" s="204" t="str">
        <f>INDEX(Q1_Adult,15,16)</f>
        <v>No data</v>
      </c>
      <c r="T18" s="203">
        <f t="shared" si="5"/>
        <v>0</v>
      </c>
      <c r="U18" s="206" t="str">
        <f>INDEX(Q1_Adult,15,17)</f>
        <v>No data</v>
      </c>
      <c r="V18" s="203">
        <f t="shared" si="6"/>
        <v>0</v>
      </c>
      <c r="W18" s="204" t="str">
        <f>INDEX(Q1_Adult,15,18)</f>
        <v>No data</v>
      </c>
      <c r="X18" s="203">
        <f t="shared" si="7"/>
        <v>0</v>
      </c>
      <c r="Y18" s="114" t="str">
        <f>INDEX(Q1_Adult,15,19)</f>
        <v>No data</v>
      </c>
      <c r="Z18" s="67" t="str">
        <f>INDEX(Q1_Adult,15,21)</f>
        <v>No data</v>
      </c>
      <c r="AA18" s="68" t="str">
        <f>INDEX(Q1_Adult,15,22)</f>
        <v>No data</v>
      </c>
    </row>
    <row r="19" spans="2:27" s="8" customFormat="1" ht="21.75" customHeight="1" thickTop="1" thickBot="1" x14ac:dyDescent="0.35">
      <c r="B19" s="26" t="str">
        <f>INDEX(Q1_Adult,16,2)</f>
        <v>Gloucester, Gloucestershire Hospitals</v>
      </c>
      <c r="C19" s="26" t="s">
        <v>20</v>
      </c>
      <c r="D19" s="58">
        <v>3</v>
      </c>
      <c r="E19" s="26" t="s">
        <v>21</v>
      </c>
      <c r="F19" s="66">
        <f>INDEX(Q1_Adult,16,7)</f>
        <v>13</v>
      </c>
      <c r="G19" s="72">
        <f>INDEX(Q1_Adult,16,8)</f>
        <v>13</v>
      </c>
      <c r="H19" s="207">
        <f>INDEX(Q1_Adult,16,9)</f>
        <v>15</v>
      </c>
      <c r="I19" s="208">
        <f t="shared" si="0"/>
        <v>0.20270270270270271</v>
      </c>
      <c r="J19" s="209">
        <f>INDEX(Q1_Adult,16,10)</f>
        <v>4</v>
      </c>
      <c r="K19" s="208">
        <f t="shared" si="1"/>
        <v>5.4054054054054057E-2</v>
      </c>
      <c r="L19" s="209">
        <f>INDEX(Q1_Adult,16,11)</f>
        <v>31</v>
      </c>
      <c r="M19" s="208">
        <f t="shared" si="2"/>
        <v>0.41891891891891891</v>
      </c>
      <c r="N19" s="209">
        <f>INDEX(Q1_Adult,16,12)</f>
        <v>24</v>
      </c>
      <c r="O19" s="208">
        <f t="shared" si="3"/>
        <v>0.32432432432432434</v>
      </c>
      <c r="P19" s="210">
        <f>INDEX(Q1_Adult,16,13)</f>
        <v>74</v>
      </c>
      <c r="Q19" s="211">
        <f>INDEX(Q1_Adult,16,15)</f>
        <v>15</v>
      </c>
      <c r="R19" s="208">
        <f t="shared" si="4"/>
        <v>0.20270270270270271</v>
      </c>
      <c r="S19" s="209">
        <f>INDEX(Q1_Adult,16,16)</f>
        <v>4</v>
      </c>
      <c r="T19" s="208">
        <f t="shared" si="5"/>
        <v>5.4054054054054057E-2</v>
      </c>
      <c r="U19" s="212">
        <f>INDEX(Q1_Adult,16,17)</f>
        <v>31</v>
      </c>
      <c r="V19" s="208">
        <f t="shared" si="6"/>
        <v>0.41891891891891891</v>
      </c>
      <c r="W19" s="209">
        <f>INDEX(Q1_Adult,16,18)</f>
        <v>24</v>
      </c>
      <c r="X19" s="208">
        <f t="shared" si="7"/>
        <v>0.32432432432432434</v>
      </c>
      <c r="Y19" s="115">
        <f>INDEX(Q1_Adult,16,19)</f>
        <v>74</v>
      </c>
      <c r="Z19" s="69">
        <f>INDEX(Q1_Adult,16,21)</f>
        <v>0.148148148148148</v>
      </c>
      <c r="AA19" s="70">
        <f>INDEX(Q1_Adult,16,22)</f>
        <v>0.148148148148148</v>
      </c>
    </row>
    <row r="20" spans="2:27" s="8" customFormat="1" ht="21.75" customHeight="1" thickTop="1" thickBot="1" x14ac:dyDescent="0.35">
      <c r="B20" s="25" t="str">
        <f>INDEX(Q1_Adult,17,2)</f>
        <v xml:space="preserve">Plymouth, Derriford Hospital </v>
      </c>
      <c r="C20" s="25" t="s">
        <v>20</v>
      </c>
      <c r="D20" s="57">
        <v>3</v>
      </c>
      <c r="E20" s="25" t="s">
        <v>21</v>
      </c>
      <c r="F20" s="65" t="str">
        <f>INDEX(Q1_Adult,17,7)</f>
        <v>No data</v>
      </c>
      <c r="G20" s="71" t="str">
        <f>INDEX(Q1_Adult,17,8)</f>
        <v>No data</v>
      </c>
      <c r="H20" s="213" t="str">
        <f>INDEX(Q1_Adult,17,9)</f>
        <v>No data</v>
      </c>
      <c r="I20" s="203">
        <f t="shared" si="0"/>
        <v>0</v>
      </c>
      <c r="J20" s="204" t="str">
        <f>INDEX(Q1_Adult,17,10)</f>
        <v>No data</v>
      </c>
      <c r="K20" s="203">
        <f t="shared" si="1"/>
        <v>0</v>
      </c>
      <c r="L20" s="204" t="str">
        <f>INDEX(Q1_Adult,17,11)</f>
        <v>No data</v>
      </c>
      <c r="M20" s="203">
        <f t="shared" si="2"/>
        <v>0</v>
      </c>
      <c r="N20" s="204" t="str">
        <f>INDEX(Q1_Adult,17,12)</f>
        <v>No data</v>
      </c>
      <c r="O20" s="203">
        <f t="shared" si="3"/>
        <v>0</v>
      </c>
      <c r="P20" s="205" t="str">
        <f>INDEX(Q1_Adult,17,13)</f>
        <v>No data</v>
      </c>
      <c r="Q20" s="202" t="str">
        <f>INDEX(Q1_Adult,17,15)</f>
        <v>No data</v>
      </c>
      <c r="R20" s="203">
        <f t="shared" si="4"/>
        <v>0</v>
      </c>
      <c r="S20" s="204" t="str">
        <f>INDEX(Q1_Adult,17,16)</f>
        <v>No data</v>
      </c>
      <c r="T20" s="203">
        <f t="shared" si="5"/>
        <v>0</v>
      </c>
      <c r="U20" s="206" t="str">
        <f>INDEX(Q1_Adult,17,17)</f>
        <v>No data</v>
      </c>
      <c r="V20" s="203">
        <f t="shared" si="6"/>
        <v>0</v>
      </c>
      <c r="W20" s="204" t="str">
        <f>INDEX(Q1_Adult,17,18)</f>
        <v>No data</v>
      </c>
      <c r="X20" s="203">
        <f t="shared" si="7"/>
        <v>0</v>
      </c>
      <c r="Y20" s="114" t="str">
        <f>INDEX(Q1_Adult,17,19)</f>
        <v>No data</v>
      </c>
      <c r="Z20" s="67" t="str">
        <f>INDEX(Q1_Adult,17,21)</f>
        <v>No data</v>
      </c>
      <c r="AA20" s="68" t="str">
        <f>INDEX(Q1_Adult,17,22)</f>
        <v>No data</v>
      </c>
    </row>
    <row r="21" spans="2:27" s="8" customFormat="1" ht="21.75" customHeight="1" thickTop="1" thickBot="1" x14ac:dyDescent="0.35">
      <c r="B21" s="26" t="str">
        <f>INDEX(Q1_Adult,18,2)</f>
        <v xml:space="preserve">Swindon, Great Weston Hospital </v>
      </c>
      <c r="C21" s="26" t="s">
        <v>20</v>
      </c>
      <c r="D21" s="58">
        <v>3</v>
      </c>
      <c r="E21" s="26" t="s">
        <v>21</v>
      </c>
      <c r="F21" s="66" t="str">
        <f>INDEX(Q1_Adult,18,7)</f>
        <v>No data</v>
      </c>
      <c r="G21" s="72" t="str">
        <f>INDEX(Q1_Adult,18,8)</f>
        <v>No data</v>
      </c>
      <c r="H21" s="207" t="str">
        <f>INDEX(Q1_Adult,18,9)</f>
        <v>No data</v>
      </c>
      <c r="I21" s="208">
        <f t="shared" si="0"/>
        <v>0</v>
      </c>
      <c r="J21" s="209" t="str">
        <f>INDEX(Q1_Adult,18,10)</f>
        <v>No data</v>
      </c>
      <c r="K21" s="208">
        <f t="shared" si="1"/>
        <v>0</v>
      </c>
      <c r="L21" s="209" t="str">
        <f>INDEX(Q1_Adult,18,11)</f>
        <v>No data</v>
      </c>
      <c r="M21" s="208">
        <f t="shared" si="2"/>
        <v>0</v>
      </c>
      <c r="N21" s="209" t="str">
        <f>INDEX(Q1_Adult,18,12)</f>
        <v>No data</v>
      </c>
      <c r="O21" s="208">
        <f t="shared" si="3"/>
        <v>0</v>
      </c>
      <c r="P21" s="210" t="str">
        <f>INDEX(Q1_Adult,18,13)</f>
        <v>No data</v>
      </c>
      <c r="Q21" s="211" t="str">
        <f>INDEX(Q1_Adult,18,15)</f>
        <v>No data</v>
      </c>
      <c r="R21" s="208">
        <f t="shared" si="4"/>
        <v>0</v>
      </c>
      <c r="S21" s="209" t="str">
        <f>INDEX(Q1_Adult,18,16)</f>
        <v>No data</v>
      </c>
      <c r="T21" s="208">
        <f t="shared" si="5"/>
        <v>0</v>
      </c>
      <c r="U21" s="212" t="str">
        <f>INDEX(Q1_Adult,18,17)</f>
        <v>No data</v>
      </c>
      <c r="V21" s="208">
        <f t="shared" si="6"/>
        <v>0</v>
      </c>
      <c r="W21" s="209" t="str">
        <f>INDEX(Q1_Adult,18,18)</f>
        <v>No data</v>
      </c>
      <c r="X21" s="208">
        <f t="shared" si="7"/>
        <v>0</v>
      </c>
      <c r="Y21" s="115" t="str">
        <f>INDEX(Q1_Adult,18,19)</f>
        <v>No data</v>
      </c>
      <c r="Z21" s="69" t="str">
        <f>INDEX(Q1_Adult,18,21)</f>
        <v>No data</v>
      </c>
      <c r="AA21" s="70" t="str">
        <f>INDEX(Q1_Adult,18,22)</f>
        <v>No data</v>
      </c>
    </row>
    <row r="22" spans="2:27" s="8" customFormat="1" ht="21.75" customHeight="1" thickTop="1" thickBot="1" x14ac:dyDescent="0.35">
      <c r="B22" s="25" t="str">
        <f>INDEX(Q1_Adult,19,2)</f>
        <v xml:space="preserve">Taunton, Musgrove Park Hospital </v>
      </c>
      <c r="C22" s="25" t="s">
        <v>20</v>
      </c>
      <c r="D22" s="57">
        <v>3</v>
      </c>
      <c r="E22" s="25" t="s">
        <v>21</v>
      </c>
      <c r="F22" s="65">
        <f>INDEX(Q1_Adult,19,7)</f>
        <v>4</v>
      </c>
      <c r="G22" s="71">
        <f>INDEX(Q1_Adult,19,8)</f>
        <v>12</v>
      </c>
      <c r="H22" s="213">
        <f>INDEX(Q1_Adult,19,9)</f>
        <v>1</v>
      </c>
      <c r="I22" s="203">
        <f t="shared" si="0"/>
        <v>1</v>
      </c>
      <c r="J22" s="204">
        <f>INDEX(Q1_Adult,19,10)</f>
        <v>0</v>
      </c>
      <c r="K22" s="203">
        <f t="shared" si="1"/>
        <v>0</v>
      </c>
      <c r="L22" s="204">
        <f>INDEX(Q1_Adult,19,11)</f>
        <v>0</v>
      </c>
      <c r="M22" s="203">
        <f t="shared" si="2"/>
        <v>0</v>
      </c>
      <c r="N22" s="204">
        <f>INDEX(Q1_Adult,19,12)</f>
        <v>0</v>
      </c>
      <c r="O22" s="203">
        <f t="shared" si="3"/>
        <v>0</v>
      </c>
      <c r="P22" s="205">
        <f>INDEX(Q1_Adult,19,13)</f>
        <v>1</v>
      </c>
      <c r="Q22" s="202">
        <f>INDEX(Q1_Adult,19,15)</f>
        <v>15</v>
      </c>
      <c r="R22" s="203">
        <f t="shared" si="4"/>
        <v>0.5357142857142857</v>
      </c>
      <c r="S22" s="204">
        <f>INDEX(Q1_Adult,19,16)</f>
        <v>13</v>
      </c>
      <c r="T22" s="203">
        <f t="shared" si="5"/>
        <v>0.4642857142857143</v>
      </c>
      <c r="U22" s="206">
        <f>INDEX(Q1_Adult,19,17)</f>
        <v>0</v>
      </c>
      <c r="V22" s="203">
        <f t="shared" si="6"/>
        <v>0</v>
      </c>
      <c r="W22" s="204">
        <f>INDEX(Q1_Adult,19,18)</f>
        <v>0</v>
      </c>
      <c r="X22" s="203">
        <f t="shared" si="7"/>
        <v>0</v>
      </c>
      <c r="Y22" s="114">
        <f>INDEX(Q1_Adult,19,19)</f>
        <v>28</v>
      </c>
      <c r="Z22" s="67">
        <f>INDEX(Q1_Adult,19,21)</f>
        <v>0.15</v>
      </c>
      <c r="AA22" s="68">
        <f>INDEX(Q1_Adult,19,22)</f>
        <v>0.2</v>
      </c>
    </row>
    <row r="23" spans="2:27" s="8" customFormat="1" ht="21.75" customHeight="1" thickTop="1" thickBot="1" x14ac:dyDescent="0.35">
      <c r="B23" s="26" t="str">
        <f>INDEX(Q1_Adult,20,2)</f>
        <v xml:space="preserve">Torquay, Torbay General District Hospital </v>
      </c>
      <c r="C23" s="26" t="s">
        <v>20</v>
      </c>
      <c r="D23" s="58">
        <v>3</v>
      </c>
      <c r="E23" s="26" t="s">
        <v>21</v>
      </c>
      <c r="F23" s="66">
        <f>INDEX(Q1_Adult,20,7)</f>
        <v>0</v>
      </c>
      <c r="G23" s="72">
        <f>INDEX(Q1_Adult,20,8)</f>
        <v>0</v>
      </c>
      <c r="H23" s="207">
        <f>INDEX(Q1_Adult,20,9)</f>
        <v>11</v>
      </c>
      <c r="I23" s="208">
        <f t="shared" si="0"/>
        <v>0.7857142857142857</v>
      </c>
      <c r="J23" s="209">
        <f>INDEX(Q1_Adult,20,10)</f>
        <v>3</v>
      </c>
      <c r="K23" s="208">
        <f t="shared" si="1"/>
        <v>0.21428571428571427</v>
      </c>
      <c r="L23" s="209">
        <f>INDEX(Q1_Adult,20,11)</f>
        <v>0</v>
      </c>
      <c r="M23" s="208">
        <f t="shared" si="2"/>
        <v>0</v>
      </c>
      <c r="N23" s="209">
        <f>INDEX(Q1_Adult,20,12)</f>
        <v>0</v>
      </c>
      <c r="O23" s="208">
        <f t="shared" si="3"/>
        <v>0</v>
      </c>
      <c r="P23" s="210">
        <f>INDEX(Q1_Adult,20,13)</f>
        <v>14</v>
      </c>
      <c r="Q23" s="211">
        <f>INDEX(Q1_Adult,20,15)</f>
        <v>6</v>
      </c>
      <c r="R23" s="208">
        <f t="shared" si="4"/>
        <v>0.31578947368421051</v>
      </c>
      <c r="S23" s="209">
        <f>INDEX(Q1_Adult,20,16)</f>
        <v>6</v>
      </c>
      <c r="T23" s="208">
        <f t="shared" si="5"/>
        <v>0.31578947368421051</v>
      </c>
      <c r="U23" s="212">
        <f>INDEX(Q1_Adult,20,17)</f>
        <v>7</v>
      </c>
      <c r="V23" s="208">
        <f t="shared" si="6"/>
        <v>0.36842105263157893</v>
      </c>
      <c r="W23" s="209">
        <f>INDEX(Q1_Adult,20,18)</f>
        <v>0</v>
      </c>
      <c r="X23" s="208">
        <f t="shared" si="7"/>
        <v>0</v>
      </c>
      <c r="Y23" s="115">
        <f>INDEX(Q1_Adult,20,19)</f>
        <v>19</v>
      </c>
      <c r="Z23" s="69">
        <f>INDEX(Q1_Adult,20,21)</f>
        <v>2.5000000000000001E-3</v>
      </c>
      <c r="AA23" s="70">
        <f>INDEX(Q1_Adult,20,22)</f>
        <v>0</v>
      </c>
    </row>
    <row r="24" spans="2:27" s="8" customFormat="1" ht="21.75" customHeight="1" thickTop="1" thickBot="1" x14ac:dyDescent="0.35">
      <c r="B24" s="25" t="str">
        <f>INDEX(Q1_Adult,21,2)</f>
        <v xml:space="preserve">Truro, Royal Cornwall Hospital </v>
      </c>
      <c r="C24" s="25" t="s">
        <v>20</v>
      </c>
      <c r="D24" s="57">
        <v>3</v>
      </c>
      <c r="E24" s="25" t="s">
        <v>21</v>
      </c>
      <c r="F24" s="65" t="str">
        <f>INDEX(Q1_Adult,21,7)</f>
        <v>No data</v>
      </c>
      <c r="G24" s="71" t="str">
        <f>INDEX(Q1_Adult,21,8)</f>
        <v>No data</v>
      </c>
      <c r="H24" s="213" t="str">
        <f>INDEX(Q1_Adult,21,9)</f>
        <v>No data</v>
      </c>
      <c r="I24" s="203">
        <f t="shared" si="0"/>
        <v>0</v>
      </c>
      <c r="J24" s="204" t="str">
        <f>INDEX(Q1_Adult,21,10)</f>
        <v>No data</v>
      </c>
      <c r="K24" s="203">
        <f t="shared" si="1"/>
        <v>0</v>
      </c>
      <c r="L24" s="204" t="str">
        <f>INDEX(Q1_Adult,21,11)</f>
        <v>No data</v>
      </c>
      <c r="M24" s="203">
        <f t="shared" si="2"/>
        <v>0</v>
      </c>
      <c r="N24" s="204" t="str">
        <f>INDEX(Q1_Adult,21,12)</f>
        <v>No data</v>
      </c>
      <c r="O24" s="203">
        <f t="shared" si="3"/>
        <v>0</v>
      </c>
      <c r="P24" s="205" t="str">
        <f>INDEX(Q1_Adult,21,13)</f>
        <v>No data</v>
      </c>
      <c r="Q24" s="202" t="str">
        <f>INDEX(Q1_Adult,21,15)</f>
        <v>No data</v>
      </c>
      <c r="R24" s="203">
        <f t="shared" si="4"/>
        <v>0</v>
      </c>
      <c r="S24" s="204" t="str">
        <f>INDEX(Q1_Adult,21,16)</f>
        <v>No data</v>
      </c>
      <c r="T24" s="203">
        <f t="shared" si="5"/>
        <v>0</v>
      </c>
      <c r="U24" s="206" t="str">
        <f>INDEX(Q1_Adult,21,17)</f>
        <v>No data</v>
      </c>
      <c r="V24" s="203">
        <f t="shared" si="6"/>
        <v>0</v>
      </c>
      <c r="W24" s="204" t="str">
        <f>INDEX(Q1_Adult,21,18)</f>
        <v>No data</v>
      </c>
      <c r="X24" s="203">
        <f t="shared" si="7"/>
        <v>0</v>
      </c>
      <c r="Y24" s="114" t="str">
        <f>INDEX(Q1_Adult,21,19)</f>
        <v>No data</v>
      </c>
      <c r="Z24" s="67" t="str">
        <f>INDEX(Q1_Adult,21,21)</f>
        <v>No data</v>
      </c>
      <c r="AA24" s="68" t="str">
        <f>INDEX(Q1_Adult,21,22)</f>
        <v>No data</v>
      </c>
    </row>
    <row r="25" spans="2:27" ht="15" thickTop="1" x14ac:dyDescent="0.3">
      <c r="B25" s="16"/>
      <c r="C25" s="16"/>
      <c r="D25" s="16"/>
      <c r="E25" s="16"/>
      <c r="F25" s="15"/>
      <c r="G25" s="15"/>
      <c r="H25" s="120"/>
      <c r="I25" s="15"/>
      <c r="J25" s="120"/>
      <c r="K25" s="15"/>
      <c r="L25" s="120"/>
      <c r="M25" s="15"/>
      <c r="N25" s="120"/>
      <c r="O25" s="15"/>
      <c r="P25" s="15"/>
      <c r="Q25" s="120"/>
      <c r="R25" s="15"/>
      <c r="S25" s="120"/>
      <c r="T25" s="15"/>
      <c r="U25" s="120"/>
      <c r="V25" s="15"/>
      <c r="W25" s="120"/>
      <c r="X25" s="15"/>
      <c r="Y25" s="15"/>
      <c r="Z25" s="15"/>
      <c r="AA25" s="15"/>
    </row>
    <row r="26" spans="2:27" ht="15" thickBot="1" x14ac:dyDescent="0.35">
      <c r="B26" s="16"/>
      <c r="C26" s="16"/>
      <c r="D26" s="16"/>
      <c r="E26" s="16"/>
      <c r="F26" s="15"/>
      <c r="G26" s="15"/>
      <c r="H26" s="120"/>
      <c r="I26" s="15"/>
      <c r="J26" s="120"/>
      <c r="K26" s="15"/>
      <c r="L26" s="120"/>
      <c r="M26" s="15"/>
      <c r="N26" s="120"/>
      <c r="O26" s="15"/>
      <c r="P26" s="15"/>
      <c r="Q26" s="120"/>
      <c r="R26" s="15"/>
      <c r="S26" s="120"/>
      <c r="T26" s="15"/>
      <c r="U26" s="120"/>
      <c r="V26" s="15"/>
      <c r="W26" s="120"/>
      <c r="X26" s="15"/>
      <c r="Y26" s="15"/>
      <c r="Z26" s="15"/>
      <c r="AA26" s="15"/>
    </row>
    <row r="27" spans="2:27" ht="14.4" x14ac:dyDescent="0.3">
      <c r="B27" s="319" t="s">
        <v>86</v>
      </c>
      <c r="C27" s="320" t="s">
        <v>87</v>
      </c>
      <c r="D27" s="321"/>
      <c r="E27" s="322"/>
      <c r="F27" s="329" t="s">
        <v>78</v>
      </c>
      <c r="G27" s="300"/>
      <c r="H27" s="330"/>
      <c r="I27" s="331"/>
      <c r="J27" s="334" t="s">
        <v>84</v>
      </c>
      <c r="K27" s="335"/>
      <c r="L27" s="309" t="s">
        <v>84</v>
      </c>
      <c r="M27" s="310"/>
      <c r="N27" s="313" t="s">
        <v>84</v>
      </c>
      <c r="O27" s="314"/>
      <c r="P27" s="164"/>
      <c r="Q27" s="330"/>
      <c r="R27" s="331"/>
      <c r="S27" s="334" t="s">
        <v>84</v>
      </c>
      <c r="T27" s="335"/>
      <c r="U27" s="309" t="s">
        <v>84</v>
      </c>
      <c r="V27" s="310"/>
      <c r="W27" s="313" t="s">
        <v>84</v>
      </c>
      <c r="X27" s="314"/>
      <c r="Y27" s="129"/>
      <c r="Z27" s="299" t="s">
        <v>81</v>
      </c>
      <c r="AA27" s="300"/>
    </row>
    <row r="28" spans="2:27" ht="14.4" x14ac:dyDescent="0.3">
      <c r="B28" s="319"/>
      <c r="C28" s="323"/>
      <c r="D28" s="324"/>
      <c r="E28" s="325"/>
      <c r="F28" s="301"/>
      <c r="G28" s="302"/>
      <c r="H28" s="332"/>
      <c r="I28" s="333"/>
      <c r="J28" s="336"/>
      <c r="K28" s="337"/>
      <c r="L28" s="311"/>
      <c r="M28" s="312"/>
      <c r="N28" s="315"/>
      <c r="O28" s="316"/>
      <c r="P28" s="165"/>
      <c r="Q28" s="332"/>
      <c r="R28" s="333"/>
      <c r="S28" s="336"/>
      <c r="T28" s="337"/>
      <c r="U28" s="311"/>
      <c r="V28" s="312"/>
      <c r="W28" s="315"/>
      <c r="X28" s="316"/>
      <c r="Y28" s="130"/>
      <c r="Z28" s="303" t="s">
        <v>82</v>
      </c>
      <c r="AA28" s="302"/>
    </row>
    <row r="29" spans="2:27" ht="15" thickBot="1" x14ac:dyDescent="0.35">
      <c r="B29" s="319"/>
      <c r="C29" s="326"/>
      <c r="D29" s="327"/>
      <c r="E29" s="328"/>
      <c r="F29" s="342" t="s">
        <v>80</v>
      </c>
      <c r="G29" s="308"/>
      <c r="H29" s="304"/>
      <c r="I29" s="305"/>
      <c r="J29" s="306" t="s">
        <v>85</v>
      </c>
      <c r="K29" s="305"/>
      <c r="L29" s="306" t="s">
        <v>85</v>
      </c>
      <c r="M29" s="305"/>
      <c r="N29" s="306" t="s">
        <v>85</v>
      </c>
      <c r="O29" s="305"/>
      <c r="P29" s="162"/>
      <c r="Q29" s="304"/>
      <c r="R29" s="305"/>
      <c r="S29" s="306" t="s">
        <v>85</v>
      </c>
      <c r="T29" s="305"/>
      <c r="U29" s="306" t="s">
        <v>85</v>
      </c>
      <c r="V29" s="305"/>
      <c r="W29" s="306" t="s">
        <v>85</v>
      </c>
      <c r="X29" s="305"/>
      <c r="Y29" s="116"/>
      <c r="Z29" s="307" t="s">
        <v>83</v>
      </c>
      <c r="AA29" s="308"/>
    </row>
    <row r="30" spans="2:27" ht="14.4" x14ac:dyDescent="0.3">
      <c r="B30" s="17"/>
      <c r="C30" s="17"/>
      <c r="D30" s="17"/>
      <c r="E30" s="17"/>
      <c r="F30" s="18"/>
      <c r="G30" s="18"/>
      <c r="H30" s="121"/>
      <c r="I30" s="18"/>
      <c r="J30" s="121"/>
      <c r="K30" s="18"/>
      <c r="L30" s="121"/>
      <c r="M30" s="18"/>
      <c r="N30" s="121"/>
      <c r="O30" s="18"/>
      <c r="P30" s="18"/>
      <c r="Q30" s="121"/>
      <c r="R30" s="18"/>
      <c r="S30" s="121"/>
      <c r="T30" s="18"/>
      <c r="U30" s="121"/>
      <c r="V30" s="18"/>
      <c r="W30" s="121"/>
      <c r="X30" s="18"/>
      <c r="Y30" s="18"/>
      <c r="Z30" s="18"/>
      <c r="AA30" s="19"/>
    </row>
    <row r="31" spans="2:27" ht="14.4" x14ac:dyDescent="0.3">
      <c r="B31" s="15"/>
      <c r="C31" s="15"/>
      <c r="D31" s="15"/>
      <c r="E31" s="15"/>
      <c r="F31" s="20">
        <v>10</v>
      </c>
      <c r="G31" s="20">
        <v>10</v>
      </c>
      <c r="H31" s="122">
        <v>10</v>
      </c>
      <c r="I31" s="20"/>
      <c r="J31" s="122">
        <v>10</v>
      </c>
      <c r="K31" s="20">
        <v>10</v>
      </c>
      <c r="L31" s="122">
        <v>10</v>
      </c>
      <c r="M31" s="20"/>
      <c r="N31" s="122"/>
      <c r="O31" s="20"/>
      <c r="P31" s="20"/>
      <c r="Q31" s="122"/>
      <c r="R31" s="20"/>
      <c r="S31" s="122"/>
      <c r="T31" s="20"/>
      <c r="U31" s="122"/>
      <c r="V31" s="20"/>
      <c r="W31" s="122"/>
      <c r="X31" s="20"/>
      <c r="Y31" s="20"/>
      <c r="Z31" s="20"/>
      <c r="AA31" s="15"/>
    </row>
    <row r="32" spans="2:27" ht="14.4" x14ac:dyDescent="0.3">
      <c r="B32" s="16" t="s">
        <v>15</v>
      </c>
      <c r="C32" s="16"/>
      <c r="D32" s="16"/>
      <c r="E32" s="16"/>
      <c r="F32" s="21"/>
      <c r="G32" s="15"/>
      <c r="H32" s="120"/>
      <c r="I32" s="15"/>
      <c r="J32" s="120"/>
      <c r="K32" s="15"/>
      <c r="L32" s="120"/>
      <c r="M32" s="15"/>
      <c r="N32" s="120"/>
      <c r="O32" s="15"/>
      <c r="P32" s="15"/>
      <c r="Q32" s="120"/>
      <c r="R32" s="15"/>
      <c r="S32" s="120"/>
      <c r="T32" s="15"/>
      <c r="U32" s="120"/>
      <c r="V32" s="15"/>
      <c r="W32" s="120"/>
      <c r="X32" s="15"/>
      <c r="Y32" s="15"/>
      <c r="Z32" s="15"/>
      <c r="AA32" s="15"/>
    </row>
    <row r="33" spans="2:27" ht="14.4" x14ac:dyDescent="0.3">
      <c r="B33" s="22" t="s">
        <v>16</v>
      </c>
      <c r="C33" s="22"/>
      <c r="D33" s="22"/>
      <c r="E33" s="22"/>
      <c r="F33" s="15"/>
      <c r="G33" s="15"/>
      <c r="H33" s="120"/>
      <c r="I33" s="15"/>
      <c r="J33" s="120"/>
      <c r="K33" s="15"/>
      <c r="L33" s="120"/>
      <c r="M33" s="15"/>
      <c r="N33" s="120"/>
      <c r="O33" s="15"/>
      <c r="P33" s="15"/>
      <c r="Q33" s="120"/>
      <c r="R33" s="15"/>
      <c r="S33" s="120"/>
      <c r="T33" s="15"/>
      <c r="U33" s="120"/>
      <c r="V33" s="15"/>
      <c r="W33" s="120"/>
      <c r="X33" s="15"/>
      <c r="Y33" s="15"/>
      <c r="Z33" s="15"/>
      <c r="AA33" s="15"/>
    </row>
    <row r="34" spans="2:27" ht="14.4" x14ac:dyDescent="0.3">
      <c r="B34" s="23"/>
      <c r="C34" s="23"/>
      <c r="D34" s="23"/>
      <c r="E34" s="23"/>
      <c r="F34" s="15"/>
      <c r="G34" s="15"/>
      <c r="H34" s="120"/>
      <c r="I34" s="15"/>
      <c r="J34" s="120"/>
      <c r="K34" s="15"/>
      <c r="L34" s="120"/>
      <c r="M34" s="15"/>
      <c r="N34" s="120"/>
      <c r="O34" s="15"/>
      <c r="P34" s="15"/>
      <c r="Q34" s="120"/>
      <c r="R34" s="15"/>
      <c r="S34" s="120"/>
      <c r="T34" s="15"/>
      <c r="U34" s="120"/>
      <c r="V34" s="15"/>
      <c r="W34" s="120"/>
      <c r="X34" s="15"/>
      <c r="Y34" s="15"/>
      <c r="Z34" s="15"/>
      <c r="AA34" s="15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sheetProtection algorithmName="SHA-512" hashValue="BJAADiB1IazTZgN4Kcbp07sxHRyJELjLyokYZFuWnOa12CQMzHWeINHfqvrPqBpdfIDrFjga64BPE/aXxIy6vQ==" saltValue="pbiwxz/CfIALq8ZP0uZhHw==" spinCount="100000" sheet="1" objects="1" scenarios="1" selectLockedCell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</mergeCells>
  <conditionalFormatting sqref="F8:G9">
    <cfRule type="containsText" dxfId="201" priority="30" operator="containsText" text="N/A">
      <formula>NOT(ISERROR(SEARCH("N/A",F8)))</formula>
    </cfRule>
    <cfRule type="cellIs" dxfId="200" priority="37" operator="between">
      <formula>0.01</formula>
      <formula>13</formula>
    </cfRule>
    <cfRule type="cellIs" dxfId="199" priority="38" operator="between">
      <formula>13</formula>
      <formula>18</formula>
    </cfRule>
    <cfRule type="cellIs" dxfId="198" priority="39" operator="greaterThan">
      <formula>18</formula>
    </cfRule>
    <cfRule type="cellIs" dxfId="197" priority="40" operator="greaterThan">
      <formula>18</formula>
    </cfRule>
  </conditionalFormatting>
  <conditionalFormatting sqref="T8:T9 K8:K9">
    <cfRule type="cellIs" dxfId="196" priority="36" operator="greaterThan">
      <formula>0.5</formula>
    </cfRule>
  </conditionalFormatting>
  <conditionalFormatting sqref="M8:M9 V8:V9">
    <cfRule type="cellIs" dxfId="195" priority="35" operator="greaterThan">
      <formula>0.49</formula>
    </cfRule>
  </conditionalFormatting>
  <conditionalFormatting sqref="X8:X9 O8:O9">
    <cfRule type="cellIs" dxfId="194" priority="34" operator="greaterThan">
      <formula>0.5</formula>
    </cfRule>
  </conditionalFormatting>
  <conditionalFormatting sqref="Z8:AA9">
    <cfRule type="cellIs" dxfId="193" priority="31" operator="between">
      <formula>0.0001</formula>
      <formula>0.1</formula>
    </cfRule>
    <cfRule type="cellIs" dxfId="192" priority="32" operator="between">
      <formula>0.1</formula>
      <formula>0.19</formula>
    </cfRule>
    <cfRule type="cellIs" dxfId="191" priority="33" operator="greaterThan">
      <formula>0.2</formula>
    </cfRule>
  </conditionalFormatting>
  <conditionalFormatting sqref="J8:J24">
    <cfRule type="expression" dxfId="190" priority="29">
      <formula>($J8/$P8*100)&gt;49.49</formula>
    </cfRule>
  </conditionalFormatting>
  <conditionalFormatting sqref="L8:L24">
    <cfRule type="expression" dxfId="189" priority="28">
      <formula>($L8/$P8*100)&gt;49.49</formula>
    </cfRule>
  </conditionalFormatting>
  <conditionalFormatting sqref="N8:N24">
    <cfRule type="expression" dxfId="188" priority="27">
      <formula>($N8/$P8*100)&gt;49.49</formula>
    </cfRule>
  </conditionalFormatting>
  <conditionalFormatting sqref="S8:S24">
    <cfRule type="expression" dxfId="187" priority="26">
      <formula>($S8/$Y8*100)&gt;49.49</formula>
    </cfRule>
  </conditionalFormatting>
  <conditionalFormatting sqref="U8:U24">
    <cfRule type="expression" dxfId="186" priority="25">
      <formula>($U8/$Y8*100)&gt;49.49</formula>
    </cfRule>
  </conditionalFormatting>
  <conditionalFormatting sqref="W8:W24">
    <cfRule type="expression" dxfId="185" priority="24">
      <formula>($W8/$Y8*100)&gt;49.49</formula>
    </cfRule>
  </conditionalFormatting>
  <conditionalFormatting sqref="L9">
    <cfRule type="expression" dxfId="184" priority="23">
      <formula>"$M$9=&gt;.499"</formula>
    </cfRule>
  </conditionalFormatting>
  <conditionalFormatting sqref="F8:AA24">
    <cfRule type="expression" dxfId="183" priority="20">
      <formula>$F8="No data"</formula>
    </cfRule>
  </conditionalFormatting>
  <conditionalFormatting sqref="F10:G24">
    <cfRule type="containsText" dxfId="182" priority="9" operator="containsText" text="N/A">
      <formula>NOT(ISERROR(SEARCH("N/A",F10)))</formula>
    </cfRule>
    <cfRule type="cellIs" dxfId="181" priority="16" operator="between">
      <formula>0.01</formula>
      <formula>13</formula>
    </cfRule>
    <cfRule type="cellIs" dxfId="180" priority="17" operator="between">
      <formula>13</formula>
      <formula>18</formula>
    </cfRule>
    <cfRule type="cellIs" dxfId="179" priority="18" operator="greaterThan">
      <formula>18</formula>
    </cfRule>
    <cfRule type="cellIs" dxfId="178" priority="19" operator="greaterThan">
      <formula>18</formula>
    </cfRule>
  </conditionalFormatting>
  <conditionalFormatting sqref="T10:T24 K10:K24">
    <cfRule type="cellIs" dxfId="177" priority="15" operator="greaterThan">
      <formula>0.5</formula>
    </cfRule>
  </conditionalFormatting>
  <conditionalFormatting sqref="M10:M24 V10:V24">
    <cfRule type="cellIs" dxfId="176" priority="14" operator="greaterThan">
      <formula>0.49</formula>
    </cfRule>
  </conditionalFormatting>
  <conditionalFormatting sqref="X10:X24 O10:O24">
    <cfRule type="cellIs" dxfId="175" priority="13" operator="greaterThan">
      <formula>0.5</formula>
    </cfRule>
  </conditionalFormatting>
  <conditionalFormatting sqref="Z10:AA24">
    <cfRule type="cellIs" dxfId="174" priority="10" operator="between">
      <formula>0.0001</formula>
      <formula>0.1</formula>
    </cfRule>
    <cfRule type="cellIs" dxfId="173" priority="11" operator="between">
      <formula>0.1</formula>
      <formula>0.19</formula>
    </cfRule>
    <cfRule type="cellIs" dxfId="172" priority="12" operator="greaterThan">
      <formula>0.2</formula>
    </cfRule>
  </conditionalFormatting>
  <conditionalFormatting sqref="L11 L13 L15 L17 L19 L21 L23">
    <cfRule type="expression" dxfId="171" priority="2">
      <formula>"$M$9=&gt;.499"</formula>
    </cfRule>
  </conditionalFormatting>
  <hyperlinks>
    <hyperlink ref="C27:E29" location="Sheet1!A1" display="For more information on rag ratings please click here" xr:uid="{00000000-0004-0000-0200-000000000000}"/>
    <hyperlink ref="B3" location="'Front Page'!A1" display="Return to Contents" xr:uid="{00000000-0004-0000-0200-000001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62"/>
  <sheetViews>
    <sheetView showGridLines="0" zoomScale="85" zoomScaleNormal="85" workbookViewId="0">
      <selection activeCell="F29" sqref="F29:G29"/>
    </sheetView>
  </sheetViews>
  <sheetFormatPr defaultColWidth="0" defaultRowHeight="0" customHeight="1" zeroHeight="1" x14ac:dyDescent="0.3"/>
  <cols>
    <col min="1" max="1" width="4" style="33" customWidth="1"/>
    <col min="2" max="2" width="59.6640625" style="33" customWidth="1"/>
    <col min="3" max="3" width="11.6640625" style="33" customWidth="1"/>
    <col min="4" max="4" width="7.6640625" style="33" customWidth="1"/>
    <col min="5" max="5" width="10" style="33" customWidth="1"/>
    <col min="6" max="7" width="12" style="33" customWidth="1"/>
    <col min="8" max="8" width="5.109375" style="123" customWidth="1"/>
    <col min="9" max="9" width="6.88671875" style="33" customWidth="1"/>
    <col min="10" max="10" width="5.109375" style="123" customWidth="1"/>
    <col min="11" max="11" width="6.88671875" style="33" customWidth="1"/>
    <col min="12" max="12" width="5.109375" style="123" customWidth="1"/>
    <col min="13" max="13" width="6.88671875" style="33" customWidth="1"/>
    <col min="14" max="14" width="5.109375" style="123" customWidth="1"/>
    <col min="15" max="15" width="6.88671875" style="33" customWidth="1"/>
    <col min="16" max="16" width="11.5546875" style="33" customWidth="1"/>
    <col min="17" max="17" width="5.109375" style="123" customWidth="1"/>
    <col min="18" max="18" width="6.88671875" style="33" customWidth="1"/>
    <col min="19" max="19" width="5.109375" style="123" customWidth="1"/>
    <col min="20" max="20" width="6.88671875" style="33" customWidth="1"/>
    <col min="21" max="21" width="5.109375" style="123" customWidth="1"/>
    <col min="22" max="22" width="6.88671875" style="33" customWidth="1"/>
    <col min="23" max="23" width="5.109375" style="123" customWidth="1"/>
    <col min="24" max="24" width="6.88671875" style="33" customWidth="1"/>
    <col min="25" max="25" width="11.5546875" style="33" customWidth="1"/>
    <col min="26" max="27" width="10.6640625" style="33" customWidth="1"/>
    <col min="28" max="28" width="9.109375" style="33" customWidth="1"/>
    <col min="29" max="30" width="0" style="33" hidden="1" customWidth="1"/>
    <col min="31" max="16384" width="9.109375" style="33" hidden="1"/>
  </cols>
  <sheetData>
    <row r="1" spans="1:28" ht="35.25" customHeight="1" x14ac:dyDescent="0.3">
      <c r="A1" s="10"/>
      <c r="B1" s="97" t="s">
        <v>101</v>
      </c>
      <c r="C1" s="84"/>
      <c r="D1" s="84"/>
      <c r="E1" s="84"/>
      <c r="F1" s="84"/>
      <c r="G1" s="84"/>
      <c r="H1" s="117"/>
      <c r="I1" s="84"/>
      <c r="J1" s="117"/>
      <c r="K1" s="84"/>
      <c r="L1" s="117"/>
      <c r="M1" s="84"/>
      <c r="N1" s="117"/>
      <c r="O1" s="84"/>
      <c r="P1" s="84"/>
      <c r="Q1" s="117"/>
      <c r="R1" s="84"/>
      <c r="S1" s="117"/>
      <c r="T1" s="84"/>
      <c r="U1" s="117"/>
      <c r="V1" s="84"/>
      <c r="W1" s="117"/>
      <c r="X1" s="84"/>
      <c r="Y1" s="84"/>
      <c r="Z1" s="84"/>
      <c r="AA1" s="84"/>
      <c r="AB1" s="84"/>
    </row>
    <row r="2" spans="1:28" s="42" customFormat="1" ht="5.0999999999999996" customHeight="1" x14ac:dyDescent="0.3">
      <c r="B2" s="124"/>
      <c r="C2" s="125"/>
      <c r="D2" s="125"/>
      <c r="E2" s="125"/>
      <c r="F2" s="125"/>
      <c r="G2" s="125"/>
      <c r="H2" s="126"/>
      <c r="I2" s="125"/>
      <c r="J2" s="126"/>
      <c r="K2" s="125"/>
      <c r="L2" s="126"/>
      <c r="M2" s="125"/>
      <c r="N2" s="126"/>
      <c r="O2" s="125"/>
      <c r="P2" s="125"/>
      <c r="Q2" s="126"/>
      <c r="R2" s="125"/>
      <c r="S2" s="126"/>
      <c r="T2" s="125"/>
      <c r="U2" s="126"/>
      <c r="V2" s="125"/>
      <c r="W2" s="126"/>
      <c r="X2" s="125"/>
      <c r="Y2" s="125"/>
      <c r="AB2" s="125"/>
    </row>
    <row r="3" spans="1:28" s="93" customFormat="1" ht="31.5" customHeight="1" x14ac:dyDescent="0.35">
      <c r="B3" s="127" t="s">
        <v>95</v>
      </c>
      <c r="C3" s="94"/>
      <c r="D3" s="94"/>
      <c r="E3" s="94"/>
      <c r="F3" s="94"/>
      <c r="H3" s="118"/>
      <c r="I3" s="94"/>
      <c r="J3" s="118"/>
      <c r="K3" s="94"/>
      <c r="L3" s="118"/>
      <c r="M3" s="95"/>
      <c r="N3" s="118"/>
      <c r="O3" s="95"/>
      <c r="P3" s="95"/>
      <c r="Q3" s="118"/>
      <c r="R3" s="95"/>
      <c r="S3" s="118"/>
      <c r="T3" s="95"/>
      <c r="U3" s="118"/>
      <c r="V3" s="95"/>
      <c r="W3" s="118"/>
      <c r="X3" s="95"/>
      <c r="Y3" s="95"/>
      <c r="Z3" s="94"/>
      <c r="AA3" s="96"/>
    </row>
    <row r="4" spans="1:28" ht="35.4" customHeight="1" thickBot="1" x14ac:dyDescent="0.5">
      <c r="B4" s="128" t="s">
        <v>189</v>
      </c>
      <c r="C4" s="13"/>
      <c r="D4" s="13"/>
      <c r="E4" s="13"/>
      <c r="F4" s="43"/>
      <c r="G4" s="13"/>
      <c r="H4" s="119"/>
      <c r="I4" s="13"/>
      <c r="J4" s="119"/>
      <c r="K4" s="13"/>
      <c r="L4" s="119"/>
      <c r="M4" s="14"/>
      <c r="N4" s="119"/>
      <c r="O4" s="14"/>
      <c r="P4" s="14"/>
      <c r="Q4" s="119"/>
      <c r="R4" s="14"/>
      <c r="S4" s="119"/>
      <c r="T4" s="14"/>
      <c r="U4" s="119"/>
      <c r="V4" s="14"/>
      <c r="W4" s="119"/>
      <c r="X4" s="14"/>
      <c r="Y4" s="14"/>
      <c r="Z4" s="13"/>
      <c r="AA4" s="15"/>
    </row>
    <row r="5" spans="1:28" ht="30.75" customHeight="1" thickTop="1" thickBot="1" x14ac:dyDescent="0.35">
      <c r="B5" s="338" t="s">
        <v>14</v>
      </c>
      <c r="C5" s="339" t="s">
        <v>18</v>
      </c>
      <c r="D5" s="339" t="s">
        <v>65</v>
      </c>
      <c r="E5" s="339" t="s">
        <v>19</v>
      </c>
      <c r="F5" s="343" t="s">
        <v>24</v>
      </c>
      <c r="G5" s="344"/>
      <c r="H5" s="343" t="s">
        <v>27</v>
      </c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3" t="s">
        <v>3</v>
      </c>
      <c r="AA5" s="344"/>
    </row>
    <row r="6" spans="1:28" ht="44.1" customHeight="1" thickTop="1" thickBot="1" x14ac:dyDescent="0.35">
      <c r="B6" s="338"/>
      <c r="C6" s="340"/>
      <c r="D6" s="340"/>
      <c r="E6" s="340"/>
      <c r="F6" s="345" t="s">
        <v>25</v>
      </c>
      <c r="G6" s="347" t="s">
        <v>26</v>
      </c>
      <c r="H6" s="343" t="s">
        <v>32</v>
      </c>
      <c r="I6" s="349"/>
      <c r="J6" s="349"/>
      <c r="K6" s="349"/>
      <c r="L6" s="349"/>
      <c r="M6" s="349"/>
      <c r="N6" s="349"/>
      <c r="O6" s="349"/>
      <c r="P6" s="349"/>
      <c r="Q6" s="343" t="s">
        <v>31</v>
      </c>
      <c r="R6" s="349"/>
      <c r="S6" s="349"/>
      <c r="T6" s="349"/>
      <c r="U6" s="349"/>
      <c r="V6" s="349"/>
      <c r="W6" s="349"/>
      <c r="X6" s="349"/>
      <c r="Y6" s="349"/>
      <c r="Z6" s="345" t="s">
        <v>9</v>
      </c>
      <c r="AA6" s="347" t="s">
        <v>17</v>
      </c>
    </row>
    <row r="7" spans="1:28" ht="51.75" customHeight="1" thickTop="1" thickBot="1" x14ac:dyDescent="0.35">
      <c r="B7" s="338"/>
      <c r="C7" s="341"/>
      <c r="D7" s="341"/>
      <c r="E7" s="341"/>
      <c r="F7" s="346"/>
      <c r="G7" s="348"/>
      <c r="H7" s="350" t="s">
        <v>117</v>
      </c>
      <c r="I7" s="351"/>
      <c r="J7" s="318" t="s">
        <v>28</v>
      </c>
      <c r="K7" s="318"/>
      <c r="L7" s="318" t="s">
        <v>29</v>
      </c>
      <c r="M7" s="318"/>
      <c r="N7" s="317" t="s">
        <v>30</v>
      </c>
      <c r="O7" s="318"/>
      <c r="P7" s="163" t="s">
        <v>118</v>
      </c>
      <c r="Q7" s="350" t="s">
        <v>117</v>
      </c>
      <c r="R7" s="351"/>
      <c r="S7" s="318" t="s">
        <v>28</v>
      </c>
      <c r="T7" s="318"/>
      <c r="U7" s="318" t="s">
        <v>29</v>
      </c>
      <c r="V7" s="318"/>
      <c r="W7" s="317" t="s">
        <v>30</v>
      </c>
      <c r="X7" s="318"/>
      <c r="Y7" s="163" t="s">
        <v>118</v>
      </c>
      <c r="Z7" s="346"/>
      <c r="AA7" s="348"/>
    </row>
    <row r="8" spans="1:28" s="83" customFormat="1" ht="21.75" customHeight="1" thickTop="1" thickBot="1" x14ac:dyDescent="0.35">
      <c r="B8" s="27" t="s">
        <v>208</v>
      </c>
      <c r="C8" s="27" t="s">
        <v>23</v>
      </c>
      <c r="D8" s="59">
        <v>1</v>
      </c>
      <c r="E8" s="27" t="s">
        <v>21</v>
      </c>
      <c r="F8" s="216">
        <f>INDEX(Q1_Paeds,15,7)</f>
        <v>78</v>
      </c>
      <c r="G8" s="216">
        <f>INDEX(Q1_Paeds,15,8)</f>
        <v>0</v>
      </c>
      <c r="H8" s="202">
        <f>INDEX(Q1_Paeds,15,9)</f>
        <v>339</v>
      </c>
      <c r="I8" s="203">
        <f>IFERROR(H8/P8,0)</f>
        <v>0.2516703786191537</v>
      </c>
      <c r="J8" s="204">
        <f>INDEX(Q1_Paeds,15,10)</f>
        <v>313</v>
      </c>
      <c r="K8" s="203">
        <f>IFERROR(J8/P8,0)</f>
        <v>0.2323682256867112</v>
      </c>
      <c r="L8" s="204">
        <f>INDEX(Q1_Paeds,15,11)</f>
        <v>445</v>
      </c>
      <c r="M8" s="203">
        <f>IFERROR(L8/P8,0)</f>
        <v>0.3303637713437268</v>
      </c>
      <c r="N8" s="204">
        <f>INDEX(Q1_Paeds,15,12)</f>
        <v>250</v>
      </c>
      <c r="O8" s="203">
        <f>IFERROR(N8/P8,0)</f>
        <v>0.1855976243504083</v>
      </c>
      <c r="P8" s="205">
        <f>INDEX(Q1_Paeds,15,13)</f>
        <v>1347</v>
      </c>
      <c r="Q8" s="202">
        <f>INDEX(Q1_Paeds,15,15)</f>
        <v>0</v>
      </c>
      <c r="R8" s="203">
        <f>IFERROR(Q8/Y8,0)</f>
        <v>0</v>
      </c>
      <c r="S8" s="204">
        <f>INDEX(Q1_Paeds,15,16)</f>
        <v>0</v>
      </c>
      <c r="T8" s="203">
        <f>IFERROR(S8/Y8,0)</f>
        <v>0</v>
      </c>
      <c r="U8" s="206">
        <f>INDEX(Q1_Paeds,15,17)</f>
        <v>0</v>
      </c>
      <c r="V8" s="203">
        <f>IFERROR(U8/Y8,0)</f>
        <v>0</v>
      </c>
      <c r="W8" s="204">
        <f>INDEX(Q1_Paeds,15,18)</f>
        <v>0</v>
      </c>
      <c r="X8" s="203">
        <f>IFERROR(W8/Y8,0)</f>
        <v>0</v>
      </c>
      <c r="Y8" s="205">
        <f>INDEX(Q1_Paeds,15,19)</f>
        <v>0</v>
      </c>
      <c r="Z8" s="217">
        <f>INDEX(Q1_Paeds,15,21)</f>
        <v>0.06</v>
      </c>
      <c r="AA8" s="218">
        <f>INDEX(Q1_Paeds,15,22)</f>
        <v>0</v>
      </c>
    </row>
    <row r="9" spans="1:28" s="8" customFormat="1" ht="21.75" customHeight="1" thickTop="1" thickBot="1" x14ac:dyDescent="0.35">
      <c r="B9" s="28" t="s">
        <v>158</v>
      </c>
      <c r="C9" s="28" t="s">
        <v>23</v>
      </c>
      <c r="D9" s="60">
        <v>2</v>
      </c>
      <c r="E9" s="28" t="s">
        <v>22</v>
      </c>
      <c r="F9" s="219">
        <f>INDEX(Q1_Paeds,6,7)</f>
        <v>14</v>
      </c>
      <c r="G9" s="220">
        <f>INDEX(Q1_Paeds,6,8)</f>
        <v>0</v>
      </c>
      <c r="H9" s="207">
        <f>INDEX(Q1_Paeds,6,9)</f>
        <v>151</v>
      </c>
      <c r="I9" s="208">
        <f>IFERROR(H9/P9,0)</f>
        <v>0.1935897435897436</v>
      </c>
      <c r="J9" s="209">
        <f>INDEX(Q1_Paeds,6,10)</f>
        <v>159</v>
      </c>
      <c r="K9" s="208">
        <f>IFERROR(J9/P9,0)</f>
        <v>0.20384615384615384</v>
      </c>
      <c r="L9" s="209">
        <f>INDEX(Q1_Paeds,6,11)</f>
        <v>314</v>
      </c>
      <c r="M9" s="208">
        <f>IFERROR(L9/P9,0)</f>
        <v>0.40256410256410258</v>
      </c>
      <c r="N9" s="209">
        <f>INDEX(Q1_Paeds,6,12)</f>
        <v>156</v>
      </c>
      <c r="O9" s="208">
        <f>IFERROR(N9/P9,0)</f>
        <v>0.2</v>
      </c>
      <c r="P9" s="210">
        <f>INDEX(Q1_Paeds,6,13)</f>
        <v>780</v>
      </c>
      <c r="Q9" s="211">
        <f>INDEX(Q1_Paeds,6,15)</f>
        <v>0</v>
      </c>
      <c r="R9" s="208">
        <f>IFERROR(Q9/Y9,0)</f>
        <v>0</v>
      </c>
      <c r="S9" s="209">
        <f>INDEX(Q1_Paeds,6,16)</f>
        <v>0</v>
      </c>
      <c r="T9" s="208">
        <f>IFERROR(S9/Y9,0)</f>
        <v>0</v>
      </c>
      <c r="U9" s="212">
        <f>INDEX(Q1_Paeds,6,17)</f>
        <v>0</v>
      </c>
      <c r="V9" s="208">
        <f>IFERROR(U9/Y9,0)</f>
        <v>0</v>
      </c>
      <c r="W9" s="209">
        <f>INDEX(Q1_Paeds,6,18)</f>
        <v>0</v>
      </c>
      <c r="X9" s="208">
        <f>IFERROR(W9/Y9,0)</f>
        <v>0</v>
      </c>
      <c r="Y9" s="210">
        <f>INDEX(Q1_Paeds,6,19)</f>
        <v>0</v>
      </c>
      <c r="Z9" s="221">
        <f>INDEX(Q1_Paeds,6,21)</f>
        <v>0.10199999999999999</v>
      </c>
      <c r="AA9" s="222">
        <f>INDEX(Q1_Paeds,6,22)</f>
        <v>0</v>
      </c>
    </row>
    <row r="10" spans="1:28" s="8" customFormat="1" ht="21.75" customHeight="1" thickTop="1" thickBot="1" x14ac:dyDescent="0.35">
      <c r="B10" s="25" t="s">
        <v>157</v>
      </c>
      <c r="C10" s="25" t="s">
        <v>23</v>
      </c>
      <c r="D10" s="57">
        <v>3</v>
      </c>
      <c r="E10" s="25" t="s">
        <v>22</v>
      </c>
      <c r="F10" s="216">
        <f>INDEX(Q1_Paeds,5,7)</f>
        <v>12</v>
      </c>
      <c r="G10" s="223">
        <f>INDEX(Q1_Paeds,5,8)</f>
        <v>13</v>
      </c>
      <c r="H10" s="213">
        <f>INDEX(Q1_Paeds,5,9)</f>
        <v>45</v>
      </c>
      <c r="I10" s="203">
        <f>IFERROR(H10/P10,0)</f>
        <v>0.23809523809523808</v>
      </c>
      <c r="J10" s="204">
        <f>INDEX(Q1_Paeds,5,10)</f>
        <v>42</v>
      </c>
      <c r="K10" s="203">
        <f>IFERROR(J10/P10,0)</f>
        <v>0.22222222222222221</v>
      </c>
      <c r="L10" s="204">
        <f>INDEX(Q1_Paeds,5,11)</f>
        <v>64</v>
      </c>
      <c r="M10" s="203">
        <f>IFERROR(L10/P10,0)</f>
        <v>0.33862433862433861</v>
      </c>
      <c r="N10" s="204">
        <f>INDEX(Q1_Paeds,5,12)</f>
        <v>38</v>
      </c>
      <c r="O10" s="203">
        <f>IFERROR(N10/P10,0)</f>
        <v>0.20105820105820105</v>
      </c>
      <c r="P10" s="205">
        <f>INDEX(Q1_Paeds,5,13)</f>
        <v>189</v>
      </c>
      <c r="Q10" s="202">
        <f>INDEX(Q1_Paeds,5,15)</f>
        <v>67</v>
      </c>
      <c r="R10" s="203">
        <f>IFERROR(Q10/Y10,0)</f>
        <v>0.1642156862745098</v>
      </c>
      <c r="S10" s="204">
        <f>INDEX(Q1_Paeds,5,16)</f>
        <v>97</v>
      </c>
      <c r="T10" s="203">
        <f>IFERROR(S10/Y10,0)</f>
        <v>0.23774509803921567</v>
      </c>
      <c r="U10" s="206">
        <f>INDEX(Q1_Paeds,5,17)</f>
        <v>150</v>
      </c>
      <c r="V10" s="203">
        <f>IFERROR(U10/Y10,0)</f>
        <v>0.36764705882352944</v>
      </c>
      <c r="W10" s="204">
        <f>INDEX(Q1_Paeds,5,18)</f>
        <v>94</v>
      </c>
      <c r="X10" s="203">
        <f>IFERROR(W10/Y10,0)</f>
        <v>0.23039215686274508</v>
      </c>
      <c r="Y10" s="205">
        <f>INDEX(Q1_Paeds,5,19)</f>
        <v>408</v>
      </c>
      <c r="Z10" s="217">
        <f>INDEX(Q1_Paeds,5,21)</f>
        <v>9.0999999999999998E-2</v>
      </c>
      <c r="AA10" s="218">
        <f>INDEX(Q1_Paeds,5,22)</f>
        <v>0.11899999999999999</v>
      </c>
    </row>
    <row r="11" spans="1:28" s="8" customFormat="1" ht="21.75" customHeight="1" thickTop="1" thickBot="1" x14ac:dyDescent="0.35">
      <c r="B11" s="29" t="s">
        <v>159</v>
      </c>
      <c r="C11" s="29" t="s">
        <v>23</v>
      </c>
      <c r="D11" s="61">
        <v>3</v>
      </c>
      <c r="E11" s="29" t="s">
        <v>22</v>
      </c>
      <c r="F11" s="219">
        <f>INDEX(Q1_Paeds,7,7)</f>
        <v>0</v>
      </c>
      <c r="G11" s="220">
        <f>INDEX(Q1_Paeds,7,8)</f>
        <v>0</v>
      </c>
      <c r="H11" s="207">
        <f>INDEX(Q1_Paeds,7,9)</f>
        <v>18</v>
      </c>
      <c r="I11" s="208">
        <f t="shared" ref="I11:I25" si="0">IFERROR(H11/P11,0)</f>
        <v>1</v>
      </c>
      <c r="J11" s="209">
        <f>INDEX(Q1_Paeds,7,10)</f>
        <v>0</v>
      </c>
      <c r="K11" s="208">
        <f t="shared" ref="K11:K25" si="1">IFERROR(J11/P11,0)</f>
        <v>0</v>
      </c>
      <c r="L11" s="209">
        <f>INDEX(Q1_Paeds,7,11)</f>
        <v>0</v>
      </c>
      <c r="M11" s="208">
        <f t="shared" ref="M11:M25" si="2">IFERROR(L11/P11,0)</f>
        <v>0</v>
      </c>
      <c r="N11" s="209">
        <f>INDEX(Q1_Paeds,7,12)</f>
        <v>0</v>
      </c>
      <c r="O11" s="208">
        <f t="shared" ref="O11:O25" si="3">IFERROR(N11/P11,0)</f>
        <v>0</v>
      </c>
      <c r="P11" s="210">
        <f>INDEX(Q1_Paeds,7,13)</f>
        <v>18</v>
      </c>
      <c r="Q11" s="211">
        <f>INDEX(Q1_Paeds,7,15)</f>
        <v>105</v>
      </c>
      <c r="R11" s="208">
        <f t="shared" ref="R11:R25" si="4">IFERROR(Q11/Y11,0)</f>
        <v>0.61764705882352944</v>
      </c>
      <c r="S11" s="209">
        <f>INDEX(Q1_Paeds,7,16)</f>
        <v>45</v>
      </c>
      <c r="T11" s="208">
        <f t="shared" ref="T11:T25" si="5">IFERROR(S11/Y11,0)</f>
        <v>0.26470588235294118</v>
      </c>
      <c r="U11" s="212">
        <f>INDEX(Q1_Paeds,7,17)</f>
        <v>20</v>
      </c>
      <c r="V11" s="208">
        <f t="shared" ref="V11:V25" si="6">IFERROR(U11/Y11,0)</f>
        <v>0.11764705882352941</v>
      </c>
      <c r="W11" s="209">
        <f>INDEX(Q1_Paeds,7,18)</f>
        <v>0</v>
      </c>
      <c r="X11" s="208">
        <f t="shared" ref="X11:X25" si="7">IFERROR(W11/Y11,0)</f>
        <v>0</v>
      </c>
      <c r="Y11" s="210">
        <f>INDEX(Q1_Paeds,7,19)</f>
        <v>170</v>
      </c>
      <c r="Z11" s="221">
        <f>INDEX(Q1_Paeds,7,21)</f>
        <v>0.15</v>
      </c>
      <c r="AA11" s="222">
        <f>INDEX(Q1_Paeds,7,22)</f>
        <v>0.05</v>
      </c>
    </row>
    <row r="12" spans="1:28" s="8" customFormat="1" ht="21.75" customHeight="1" thickTop="1" thickBot="1" x14ac:dyDescent="0.35">
      <c r="B12" s="27" t="s">
        <v>160</v>
      </c>
      <c r="C12" s="27" t="s">
        <v>23</v>
      </c>
      <c r="D12" s="59">
        <v>3</v>
      </c>
      <c r="E12" s="27" t="s">
        <v>22</v>
      </c>
      <c r="F12" s="216">
        <f>INDEX(Q1_Paeds,8,7)</f>
        <v>15</v>
      </c>
      <c r="G12" s="223">
        <f>INDEX(Q1_Paeds,8,8)</f>
        <v>0</v>
      </c>
      <c r="H12" s="213">
        <f>INDEX(Q1_Paeds,8,9)</f>
        <v>1</v>
      </c>
      <c r="I12" s="203">
        <f t="shared" si="0"/>
        <v>0.33333333333333331</v>
      </c>
      <c r="J12" s="204">
        <f>INDEX(Q1_Paeds,8,10)</f>
        <v>1</v>
      </c>
      <c r="K12" s="203">
        <f t="shared" si="1"/>
        <v>0.33333333333333331</v>
      </c>
      <c r="L12" s="204">
        <f>INDEX(Q1_Paeds,8,11)</f>
        <v>1</v>
      </c>
      <c r="M12" s="203">
        <f t="shared" si="2"/>
        <v>0.33333333333333331</v>
      </c>
      <c r="N12" s="204">
        <f>INDEX(Q1_Paeds,8,12)</f>
        <v>0</v>
      </c>
      <c r="O12" s="203">
        <f t="shared" si="3"/>
        <v>0</v>
      </c>
      <c r="P12" s="205">
        <f>INDEX(Q1_Paeds,8,13)</f>
        <v>3</v>
      </c>
      <c r="Q12" s="202">
        <f>INDEX(Q1_Paeds,8,15)</f>
        <v>2</v>
      </c>
      <c r="R12" s="203">
        <f t="shared" si="4"/>
        <v>0.13333333333333333</v>
      </c>
      <c r="S12" s="204">
        <f>INDEX(Q1_Paeds,8,16)</f>
        <v>5</v>
      </c>
      <c r="T12" s="203">
        <f t="shared" si="5"/>
        <v>0.33333333333333331</v>
      </c>
      <c r="U12" s="206">
        <f>INDEX(Q1_Paeds,8,17)</f>
        <v>6</v>
      </c>
      <c r="V12" s="203">
        <f t="shared" si="6"/>
        <v>0.4</v>
      </c>
      <c r="W12" s="204">
        <f>INDEX(Q1_Paeds,8,18)</f>
        <v>2</v>
      </c>
      <c r="X12" s="203">
        <f t="shared" si="7"/>
        <v>0.13333333333333333</v>
      </c>
      <c r="Y12" s="205">
        <f>INDEX(Q1_Paeds,8,19)</f>
        <v>15</v>
      </c>
      <c r="Z12" s="217">
        <f>INDEX(Q1_Paeds,8,21)</f>
        <v>0.25929999999999997</v>
      </c>
      <c r="AA12" s="218">
        <f>INDEX(Q1_Paeds,8,22)</f>
        <v>0</v>
      </c>
    </row>
    <row r="13" spans="1:28" s="8" customFormat="1" ht="21.75" customHeight="1" thickTop="1" thickBot="1" x14ac:dyDescent="0.35">
      <c r="B13" s="28" t="s">
        <v>161</v>
      </c>
      <c r="C13" s="28" t="s">
        <v>23</v>
      </c>
      <c r="D13" s="60">
        <v>3</v>
      </c>
      <c r="E13" s="28" t="s">
        <v>22</v>
      </c>
      <c r="F13" s="219">
        <f>INDEX(Q1_Paeds,9,7)</f>
        <v>16</v>
      </c>
      <c r="G13" s="220">
        <f>INDEX(Q1_Paeds,9,8)</f>
        <v>15</v>
      </c>
      <c r="H13" s="207">
        <f>INDEX(Q1_Paeds,9,9)</f>
        <v>0</v>
      </c>
      <c r="I13" s="208">
        <f t="shared" si="0"/>
        <v>0</v>
      </c>
      <c r="J13" s="209">
        <f>INDEX(Q1_Paeds,9,10)</f>
        <v>0</v>
      </c>
      <c r="K13" s="208">
        <f t="shared" si="1"/>
        <v>0</v>
      </c>
      <c r="L13" s="209">
        <f>INDEX(Q1_Paeds,9,11)</f>
        <v>11</v>
      </c>
      <c r="M13" s="208">
        <f t="shared" si="2"/>
        <v>1</v>
      </c>
      <c r="N13" s="209">
        <f>INDEX(Q1_Paeds,9,12)</f>
        <v>0</v>
      </c>
      <c r="O13" s="208">
        <f t="shared" si="3"/>
        <v>0</v>
      </c>
      <c r="P13" s="210">
        <f>INDEX(Q1_Paeds,9,13)</f>
        <v>11</v>
      </c>
      <c r="Q13" s="211">
        <f>INDEX(Q1_Paeds,9,15)</f>
        <v>2</v>
      </c>
      <c r="R13" s="208">
        <f t="shared" si="4"/>
        <v>6.0606060606060608E-2</v>
      </c>
      <c r="S13" s="209">
        <f>INDEX(Q1_Paeds,9,16)</f>
        <v>8</v>
      </c>
      <c r="T13" s="208">
        <f t="shared" si="5"/>
        <v>0.24242424242424243</v>
      </c>
      <c r="U13" s="212">
        <f>INDEX(Q1_Paeds,9,17)</f>
        <v>18</v>
      </c>
      <c r="V13" s="208">
        <f t="shared" si="6"/>
        <v>0.54545454545454541</v>
      </c>
      <c r="W13" s="209">
        <f>INDEX(Q1_Paeds,9,18)</f>
        <v>5</v>
      </c>
      <c r="X13" s="208">
        <f t="shared" si="7"/>
        <v>0.15151515151515152</v>
      </c>
      <c r="Y13" s="210">
        <f>INDEX(Q1_Paeds,9,19)</f>
        <v>33</v>
      </c>
      <c r="Z13" s="221">
        <f>INDEX(Q1_Paeds,9,21)</f>
        <v>0.28499999999999998</v>
      </c>
      <c r="AA13" s="222">
        <f>INDEX(Q1_Paeds,9,22)</f>
        <v>3.6999999999999998E-2</v>
      </c>
    </row>
    <row r="14" spans="1:28" s="8" customFormat="1" ht="21.75" customHeight="1" thickTop="1" thickBot="1" x14ac:dyDescent="0.35">
      <c r="B14" s="27" t="s">
        <v>165</v>
      </c>
      <c r="C14" s="27" t="s">
        <v>23</v>
      </c>
      <c r="D14" s="59">
        <v>3</v>
      </c>
      <c r="E14" s="27" t="s">
        <v>22</v>
      </c>
      <c r="F14" s="216" t="str">
        <f>INDEX(Q1_Paeds,10,7)</f>
        <v>No data</v>
      </c>
      <c r="G14" s="223" t="str">
        <f>INDEX(Q1_Paeds,10,8)</f>
        <v>No data</v>
      </c>
      <c r="H14" s="213" t="str">
        <f>INDEX(Q1_Paeds,10,9)</f>
        <v>No data</v>
      </c>
      <c r="I14" s="203">
        <f t="shared" si="0"/>
        <v>0</v>
      </c>
      <c r="J14" s="204" t="str">
        <f>INDEX(Q1_Paeds,10,10)</f>
        <v>No data</v>
      </c>
      <c r="K14" s="203">
        <f t="shared" si="1"/>
        <v>0</v>
      </c>
      <c r="L14" s="204" t="str">
        <f>INDEX(Q1_Paeds,10,11)</f>
        <v>No data</v>
      </c>
      <c r="M14" s="203">
        <f t="shared" si="2"/>
        <v>0</v>
      </c>
      <c r="N14" s="204" t="str">
        <f>INDEX(Q1_Paeds,10,12)</f>
        <v>No data</v>
      </c>
      <c r="O14" s="203">
        <f t="shared" si="3"/>
        <v>0</v>
      </c>
      <c r="P14" s="205" t="str">
        <f>INDEX(Q1_Paeds,10,13)</f>
        <v>No data</v>
      </c>
      <c r="Q14" s="202" t="str">
        <f>INDEX(Q1_Paeds,10,15)</f>
        <v>No data</v>
      </c>
      <c r="R14" s="203">
        <f t="shared" si="4"/>
        <v>0</v>
      </c>
      <c r="S14" s="204" t="str">
        <f>INDEX(Q1_Paeds,10,16)</f>
        <v>No data</v>
      </c>
      <c r="T14" s="203">
        <f t="shared" si="5"/>
        <v>0</v>
      </c>
      <c r="U14" s="206" t="str">
        <f>INDEX(Q1_Paeds,10,17)</f>
        <v>No data</v>
      </c>
      <c r="V14" s="203">
        <f t="shared" si="6"/>
        <v>0</v>
      </c>
      <c r="W14" s="204" t="str">
        <f>INDEX(Q1_Paeds,10,18)</f>
        <v>No data</v>
      </c>
      <c r="X14" s="203">
        <f t="shared" si="7"/>
        <v>0</v>
      </c>
      <c r="Y14" s="205" t="str">
        <f>INDEX(Q1_Paeds,10,19)</f>
        <v>No data</v>
      </c>
      <c r="Z14" s="217" t="str">
        <f>INDEX(Q1_Paeds,10,21)</f>
        <v>No data</v>
      </c>
      <c r="AA14" s="218" t="str">
        <f>INDEX(Q1_Paeds,10,22)</f>
        <v>No data</v>
      </c>
    </row>
    <row r="15" spans="1:28" s="8" customFormat="1" ht="21.75" customHeight="1" thickTop="1" thickBot="1" x14ac:dyDescent="0.35">
      <c r="B15" s="28" t="s">
        <v>166</v>
      </c>
      <c r="C15" s="28" t="s">
        <v>23</v>
      </c>
      <c r="D15" s="60">
        <v>3</v>
      </c>
      <c r="E15" s="28" t="s">
        <v>22</v>
      </c>
      <c r="F15" s="219">
        <f>INDEX(Q1_Paeds,11,7)</f>
        <v>11</v>
      </c>
      <c r="G15" s="220">
        <f>INDEX(Q1_Paeds,11,8)</f>
        <v>15</v>
      </c>
      <c r="H15" s="207">
        <f>INDEX(Q1_Paeds,11,9)</f>
        <v>2</v>
      </c>
      <c r="I15" s="208">
        <f t="shared" si="0"/>
        <v>1</v>
      </c>
      <c r="J15" s="209">
        <f>INDEX(Q1_Paeds,11,10)</f>
        <v>0</v>
      </c>
      <c r="K15" s="208">
        <f t="shared" si="1"/>
        <v>0</v>
      </c>
      <c r="L15" s="209">
        <f>INDEX(Q1_Paeds,11,11)</f>
        <v>0</v>
      </c>
      <c r="M15" s="208">
        <f t="shared" si="2"/>
        <v>0</v>
      </c>
      <c r="N15" s="209">
        <f>INDEX(Q1_Paeds,11,12)</f>
        <v>0</v>
      </c>
      <c r="O15" s="208">
        <f t="shared" si="3"/>
        <v>0</v>
      </c>
      <c r="P15" s="210">
        <f>INDEX(Q1_Paeds,11,13)</f>
        <v>2</v>
      </c>
      <c r="Q15" s="211">
        <f>INDEX(Q1_Paeds,11,15)</f>
        <v>11</v>
      </c>
      <c r="R15" s="208">
        <f t="shared" si="4"/>
        <v>0.28205128205128205</v>
      </c>
      <c r="S15" s="209">
        <f>INDEX(Q1_Paeds,11,16)</f>
        <v>11</v>
      </c>
      <c r="T15" s="208">
        <f t="shared" si="5"/>
        <v>0.28205128205128205</v>
      </c>
      <c r="U15" s="212">
        <f>INDEX(Q1_Paeds,11,17)</f>
        <v>17</v>
      </c>
      <c r="V15" s="208">
        <f t="shared" si="6"/>
        <v>0.4358974358974359</v>
      </c>
      <c r="W15" s="209">
        <f>INDEX(Q1_Paeds,11,18)</f>
        <v>0</v>
      </c>
      <c r="X15" s="208">
        <f t="shared" si="7"/>
        <v>0</v>
      </c>
      <c r="Y15" s="210">
        <f>INDEX(Q1_Paeds,11,19)</f>
        <v>39</v>
      </c>
      <c r="Z15" s="221">
        <f>INDEX(Q1_Paeds,11,21)</f>
        <v>0</v>
      </c>
      <c r="AA15" s="222">
        <f>INDEX(Q1_Paeds,11,22)</f>
        <v>0</v>
      </c>
    </row>
    <row r="16" spans="1:28" s="8" customFormat="1" ht="21.75" customHeight="1" thickTop="1" thickBot="1" x14ac:dyDescent="0.35">
      <c r="B16" s="30" t="s">
        <v>162</v>
      </c>
      <c r="C16" s="30" t="s">
        <v>23</v>
      </c>
      <c r="D16" s="62">
        <v>3</v>
      </c>
      <c r="E16" s="30" t="s">
        <v>22</v>
      </c>
      <c r="F16" s="216">
        <f>INDEX(Q1_Paeds,12,7)</f>
        <v>8.48</v>
      </c>
      <c r="G16" s="223">
        <f>INDEX(Q1_Paeds,12,8)</f>
        <v>26.67</v>
      </c>
      <c r="H16" s="213">
        <f>INDEX(Q1_Paeds,12,9)</f>
        <v>34</v>
      </c>
      <c r="I16" s="203">
        <f t="shared" si="0"/>
        <v>0.73913043478260865</v>
      </c>
      <c r="J16" s="204">
        <f>INDEX(Q1_Paeds,12,10)</f>
        <v>12</v>
      </c>
      <c r="K16" s="203">
        <f t="shared" si="1"/>
        <v>0.2608695652173913</v>
      </c>
      <c r="L16" s="204" t="str">
        <f>INDEX(Q1_Paeds,12,11)</f>
        <v xml:space="preserve"> </v>
      </c>
      <c r="M16" s="203">
        <f t="shared" si="2"/>
        <v>0</v>
      </c>
      <c r="N16" s="204">
        <f>INDEX(Q1_Paeds,12,12)</f>
        <v>0</v>
      </c>
      <c r="O16" s="203">
        <f t="shared" si="3"/>
        <v>0</v>
      </c>
      <c r="P16" s="205">
        <f>INDEX(Q1_Paeds,12,13)</f>
        <v>46</v>
      </c>
      <c r="Q16" s="202">
        <f>INDEX(Q1_Paeds,12,15)</f>
        <v>32</v>
      </c>
      <c r="R16" s="203">
        <f t="shared" si="4"/>
        <v>0.26446280991735538</v>
      </c>
      <c r="S16" s="204">
        <f>INDEX(Q1_Paeds,12,16)</f>
        <v>70</v>
      </c>
      <c r="T16" s="203">
        <f t="shared" si="5"/>
        <v>0.57851239669421484</v>
      </c>
      <c r="U16" s="206">
        <f>INDEX(Q1_Paeds,12,17)</f>
        <v>19</v>
      </c>
      <c r="V16" s="203">
        <f t="shared" si="6"/>
        <v>0.15702479338842976</v>
      </c>
      <c r="W16" s="204">
        <f>INDEX(Q1_Paeds,12,18)</f>
        <v>0</v>
      </c>
      <c r="X16" s="203">
        <f t="shared" si="7"/>
        <v>0</v>
      </c>
      <c r="Y16" s="205">
        <f>INDEX(Q1_Paeds,12,19)</f>
        <v>121</v>
      </c>
      <c r="Z16" s="217">
        <f>INDEX(Q1_Paeds,12,21)</f>
        <v>3.49E-2</v>
      </c>
      <c r="AA16" s="218">
        <f>INDEX(Q1_Paeds,12,22)</f>
        <v>0</v>
      </c>
    </row>
    <row r="17" spans="2:27" s="8" customFormat="1" ht="21.75" customHeight="1" thickTop="1" thickBot="1" x14ac:dyDescent="0.35">
      <c r="B17" s="28" t="s">
        <v>58</v>
      </c>
      <c r="C17" s="28" t="s">
        <v>23</v>
      </c>
      <c r="D17" s="60">
        <v>3</v>
      </c>
      <c r="E17" s="28" t="s">
        <v>21</v>
      </c>
      <c r="F17" s="219" t="str">
        <f>INDEX(Q1_Paeds,13,7)</f>
        <v>No data</v>
      </c>
      <c r="G17" s="220" t="str">
        <f>INDEX(Q1_Paeds,13,8)</f>
        <v>No data</v>
      </c>
      <c r="H17" s="207" t="str">
        <f>INDEX(Q1_Paeds,13,9)</f>
        <v>No data</v>
      </c>
      <c r="I17" s="208">
        <f t="shared" si="0"/>
        <v>0</v>
      </c>
      <c r="J17" s="209" t="str">
        <f>INDEX(Q1_Paeds,13,10)</f>
        <v>No data</v>
      </c>
      <c r="K17" s="208">
        <f t="shared" si="1"/>
        <v>0</v>
      </c>
      <c r="L17" s="209" t="str">
        <f>INDEX(Q1_Paeds,13,11)</f>
        <v>No data</v>
      </c>
      <c r="M17" s="208">
        <f t="shared" si="2"/>
        <v>0</v>
      </c>
      <c r="N17" s="209" t="str">
        <f>INDEX(Q1_Paeds,13,12)</f>
        <v>No data</v>
      </c>
      <c r="O17" s="208">
        <f t="shared" si="3"/>
        <v>0</v>
      </c>
      <c r="P17" s="210" t="str">
        <f>INDEX(Q1_Paeds,13,13)</f>
        <v>No data</v>
      </c>
      <c r="Q17" s="211" t="str">
        <f>INDEX(Q1_Paeds,13,15)</f>
        <v>No data</v>
      </c>
      <c r="R17" s="208">
        <f t="shared" si="4"/>
        <v>0</v>
      </c>
      <c r="S17" s="209" t="str">
        <f>INDEX(Q1_Paeds,13,16)</f>
        <v>No data</v>
      </c>
      <c r="T17" s="208">
        <f t="shared" si="5"/>
        <v>0</v>
      </c>
      <c r="U17" s="212" t="str">
        <f>INDEX(Q1_Paeds,13,17)</f>
        <v>No data</v>
      </c>
      <c r="V17" s="208">
        <f t="shared" si="6"/>
        <v>0</v>
      </c>
      <c r="W17" s="209" t="str">
        <f>INDEX(Q1_Paeds,13,18)</f>
        <v>No data</v>
      </c>
      <c r="X17" s="208">
        <f t="shared" si="7"/>
        <v>0</v>
      </c>
      <c r="Y17" s="210" t="str">
        <f>INDEX(Q1_Paeds,13,19)</f>
        <v>No data</v>
      </c>
      <c r="Z17" s="221" t="str">
        <f>INDEX(Q1_Paeds,13,21)</f>
        <v>No data</v>
      </c>
      <c r="AA17" s="222" t="str">
        <f>INDEX(Q1_Paeds,13,22)</f>
        <v>No data</v>
      </c>
    </row>
    <row r="18" spans="2:27" s="8" customFormat="1" ht="21.75" customHeight="1" thickTop="1" thickBot="1" x14ac:dyDescent="0.35">
      <c r="B18" s="27" t="s">
        <v>59</v>
      </c>
      <c r="C18" s="27" t="s">
        <v>23</v>
      </c>
      <c r="D18" s="59">
        <v>3</v>
      </c>
      <c r="E18" s="27" t="s">
        <v>21</v>
      </c>
      <c r="F18" s="216">
        <f>INDEX(Q1_Paeds,14,7)</f>
        <v>28</v>
      </c>
      <c r="G18" s="223">
        <f>INDEX(Q1_Paeds,14,8)</f>
        <v>8</v>
      </c>
      <c r="H18" s="213">
        <f>INDEX(Q1_Paeds,14,9)</f>
        <v>9</v>
      </c>
      <c r="I18" s="203">
        <f t="shared" si="0"/>
        <v>0.69230769230769229</v>
      </c>
      <c r="J18" s="204">
        <f>INDEX(Q1_Paeds,14,10)</f>
        <v>4</v>
      </c>
      <c r="K18" s="203">
        <f t="shared" si="1"/>
        <v>0.30769230769230771</v>
      </c>
      <c r="L18" s="204">
        <f>INDEX(Q1_Paeds,14,11)</f>
        <v>0</v>
      </c>
      <c r="M18" s="203">
        <f t="shared" si="2"/>
        <v>0</v>
      </c>
      <c r="N18" s="204">
        <f>INDEX(Q1_Paeds,14,12)</f>
        <v>0</v>
      </c>
      <c r="O18" s="203">
        <f t="shared" si="3"/>
        <v>0</v>
      </c>
      <c r="P18" s="205">
        <f>INDEX(Q1_Paeds,14,13)</f>
        <v>13</v>
      </c>
      <c r="Q18" s="202">
        <f>INDEX(Q1_Paeds,14,15)</f>
        <v>0</v>
      </c>
      <c r="R18" s="203">
        <f t="shared" si="4"/>
        <v>0</v>
      </c>
      <c r="S18" s="204">
        <f>INDEX(Q1_Paeds,14,16)</f>
        <v>1</v>
      </c>
      <c r="T18" s="203">
        <f t="shared" si="5"/>
        <v>1</v>
      </c>
      <c r="U18" s="206">
        <f>INDEX(Q1_Paeds,14,17)</f>
        <v>0</v>
      </c>
      <c r="V18" s="203">
        <f t="shared" si="6"/>
        <v>0</v>
      </c>
      <c r="W18" s="204">
        <f>INDEX(Q1_Paeds,14,18)</f>
        <v>0</v>
      </c>
      <c r="X18" s="203">
        <f t="shared" si="7"/>
        <v>0</v>
      </c>
      <c r="Y18" s="205">
        <f>INDEX(Q1_Paeds,14,19)</f>
        <v>1</v>
      </c>
      <c r="Z18" s="217">
        <f>INDEX(Q1_Paeds,14,21)</f>
        <v>0.04</v>
      </c>
      <c r="AA18" s="218">
        <f>INDEX(Q1_Paeds,14,22)</f>
        <v>0.04</v>
      </c>
    </row>
    <row r="19" spans="2:27" s="8" customFormat="1" ht="21.75" customHeight="1" thickTop="1" thickBot="1" x14ac:dyDescent="0.35">
      <c r="B19" s="28" t="s">
        <v>60</v>
      </c>
      <c r="C19" s="28" t="s">
        <v>23</v>
      </c>
      <c r="D19" s="60">
        <v>3</v>
      </c>
      <c r="E19" s="28" t="s">
        <v>21</v>
      </c>
      <c r="F19" s="219">
        <f>INDEX(Q1_Paeds,16,7)</f>
        <v>15</v>
      </c>
      <c r="G19" s="220">
        <f>INDEX(Q1_Paeds,16,8)</f>
        <v>8</v>
      </c>
      <c r="H19" s="207">
        <f>INDEX(Q1_Paeds,16,9)</f>
        <v>39</v>
      </c>
      <c r="I19" s="208">
        <f t="shared" si="0"/>
        <v>0.23493975903614459</v>
      </c>
      <c r="J19" s="209">
        <f>INDEX(Q1_Paeds,16,10)</f>
        <v>50</v>
      </c>
      <c r="K19" s="208">
        <f t="shared" si="1"/>
        <v>0.30120481927710846</v>
      </c>
      <c r="L19" s="209">
        <f>INDEX(Q1_Paeds,16,11)</f>
        <v>66</v>
      </c>
      <c r="M19" s="208">
        <f t="shared" si="2"/>
        <v>0.39759036144578314</v>
      </c>
      <c r="N19" s="209">
        <f>INDEX(Q1_Paeds,16,12)</f>
        <v>11</v>
      </c>
      <c r="O19" s="208">
        <f t="shared" si="3"/>
        <v>6.6265060240963861E-2</v>
      </c>
      <c r="P19" s="210">
        <f>INDEX(Q1_Paeds,16,13)</f>
        <v>166</v>
      </c>
      <c r="Q19" s="211">
        <f>INDEX(Q1_Paeds,16,15)</f>
        <v>22</v>
      </c>
      <c r="R19" s="208">
        <f t="shared" si="4"/>
        <v>0.18965517241379309</v>
      </c>
      <c r="S19" s="209">
        <f>INDEX(Q1_Paeds,16,16)</f>
        <v>44</v>
      </c>
      <c r="T19" s="208">
        <f t="shared" si="5"/>
        <v>0.37931034482758619</v>
      </c>
      <c r="U19" s="212">
        <f>INDEX(Q1_Paeds,16,17)</f>
        <v>35</v>
      </c>
      <c r="V19" s="208">
        <f t="shared" si="6"/>
        <v>0.30172413793103448</v>
      </c>
      <c r="W19" s="209">
        <f>INDEX(Q1_Paeds,16,18)</f>
        <v>15</v>
      </c>
      <c r="X19" s="208">
        <f t="shared" si="7"/>
        <v>0.12931034482758622</v>
      </c>
      <c r="Y19" s="210">
        <f>INDEX(Q1_Paeds,16,19)</f>
        <v>116</v>
      </c>
      <c r="Z19" s="221">
        <f>INDEX(Q1_Paeds,16,21)</f>
        <v>0.06</v>
      </c>
      <c r="AA19" s="222">
        <f>INDEX(Q1_Paeds,16,22)</f>
        <v>0.03</v>
      </c>
    </row>
    <row r="20" spans="2:27" s="8" customFormat="1" ht="21.75" customHeight="1" thickTop="1" thickBot="1" x14ac:dyDescent="0.35">
      <c r="B20" s="27" t="s">
        <v>56</v>
      </c>
      <c r="C20" s="27" t="s">
        <v>23</v>
      </c>
      <c r="D20" s="59">
        <v>3</v>
      </c>
      <c r="E20" s="27" t="s">
        <v>21</v>
      </c>
      <c r="F20" s="216">
        <f>INDEX(Q1_Paeds,17,7)</f>
        <v>10.9</v>
      </c>
      <c r="G20" s="223">
        <f>INDEX(Q1_Paeds,17,8)</f>
        <v>5.4</v>
      </c>
      <c r="H20" s="213">
        <f>INDEX(Q1_Paeds,17,9)</f>
        <v>51</v>
      </c>
      <c r="I20" s="203">
        <f t="shared" si="0"/>
        <v>0.16887417218543047</v>
      </c>
      <c r="J20" s="204">
        <f>INDEX(Q1_Paeds,17,10)</f>
        <v>43</v>
      </c>
      <c r="K20" s="203">
        <f t="shared" si="1"/>
        <v>0.14238410596026491</v>
      </c>
      <c r="L20" s="204">
        <f>INDEX(Q1_Paeds,17,11)</f>
        <v>68</v>
      </c>
      <c r="M20" s="203">
        <f t="shared" si="2"/>
        <v>0.2251655629139073</v>
      </c>
      <c r="N20" s="204">
        <f>INDEX(Q1_Paeds,17,12)</f>
        <v>140</v>
      </c>
      <c r="O20" s="203">
        <f t="shared" si="3"/>
        <v>0.46357615894039733</v>
      </c>
      <c r="P20" s="205">
        <f>INDEX(Q1_Paeds,17,13)</f>
        <v>302</v>
      </c>
      <c r="Q20" s="202">
        <f>INDEX(Q1_Paeds,17,15)</f>
        <v>15</v>
      </c>
      <c r="R20" s="203">
        <f t="shared" si="4"/>
        <v>0.14851485148514851</v>
      </c>
      <c r="S20" s="204">
        <f>INDEX(Q1_Paeds,17,16)</f>
        <v>14</v>
      </c>
      <c r="T20" s="203">
        <f t="shared" si="5"/>
        <v>0.13861386138613863</v>
      </c>
      <c r="U20" s="206">
        <f>INDEX(Q1_Paeds,17,17)</f>
        <v>30</v>
      </c>
      <c r="V20" s="203">
        <f t="shared" si="6"/>
        <v>0.29702970297029702</v>
      </c>
      <c r="W20" s="204">
        <f>INDEX(Q1_Paeds,17,18)</f>
        <v>42</v>
      </c>
      <c r="X20" s="203">
        <f t="shared" si="7"/>
        <v>0.41584158415841582</v>
      </c>
      <c r="Y20" s="205">
        <f>INDEX(Q1_Paeds,17,19)</f>
        <v>101</v>
      </c>
      <c r="Z20" s="217">
        <f>INDEX(Q1_Paeds,17,21)</f>
        <v>0.1091</v>
      </c>
      <c r="AA20" s="218">
        <f>INDEX(Q1_Paeds,17,22)</f>
        <v>0</v>
      </c>
    </row>
    <row r="21" spans="2:27" s="8" customFormat="1" ht="21.75" customHeight="1" thickTop="1" thickBot="1" x14ac:dyDescent="0.35">
      <c r="B21" s="28" t="s">
        <v>61</v>
      </c>
      <c r="C21" s="28" t="s">
        <v>23</v>
      </c>
      <c r="D21" s="60">
        <v>3</v>
      </c>
      <c r="E21" s="28" t="s">
        <v>21</v>
      </c>
      <c r="F21" s="219" t="str">
        <f>INDEX(Q1_Paeds,18,7)</f>
        <v>No data</v>
      </c>
      <c r="G21" s="220" t="str">
        <f>INDEX(Q1_Paeds,18,8)</f>
        <v>No data</v>
      </c>
      <c r="H21" s="207" t="str">
        <f>INDEX(Q1_Paeds,18,9)</f>
        <v>No data</v>
      </c>
      <c r="I21" s="208">
        <f t="shared" si="0"/>
        <v>0</v>
      </c>
      <c r="J21" s="209" t="str">
        <f>INDEX(Q1_Paeds,18,10)</f>
        <v>No data</v>
      </c>
      <c r="K21" s="208">
        <f t="shared" si="1"/>
        <v>0</v>
      </c>
      <c r="L21" s="209" t="str">
        <f>INDEX(Q1_Paeds,18,11)</f>
        <v>No data</v>
      </c>
      <c r="M21" s="208">
        <f t="shared" si="2"/>
        <v>0</v>
      </c>
      <c r="N21" s="209" t="str">
        <f>INDEX(Q1_Paeds,18,12)</f>
        <v>No data</v>
      </c>
      <c r="O21" s="208">
        <f t="shared" si="3"/>
        <v>0</v>
      </c>
      <c r="P21" s="210" t="str">
        <f>INDEX(Q1_Paeds,18,13)</f>
        <v>No data</v>
      </c>
      <c r="Q21" s="211" t="str">
        <f>INDEX(Q1_Paeds,18,15)</f>
        <v>No data</v>
      </c>
      <c r="R21" s="208">
        <f t="shared" si="4"/>
        <v>0</v>
      </c>
      <c r="S21" s="209" t="str">
        <f>INDEX(Q1_Paeds,18,16)</f>
        <v>No data</v>
      </c>
      <c r="T21" s="208">
        <f t="shared" si="5"/>
        <v>0</v>
      </c>
      <c r="U21" s="212" t="str">
        <f>INDEX(Q1_Paeds,18,17)</f>
        <v>No data</v>
      </c>
      <c r="V21" s="208">
        <f t="shared" si="6"/>
        <v>0</v>
      </c>
      <c r="W21" s="209" t="str">
        <f>INDEX(Q1_Paeds,18,18)</f>
        <v>No data</v>
      </c>
      <c r="X21" s="208">
        <f t="shared" si="7"/>
        <v>0</v>
      </c>
      <c r="Y21" s="210" t="str">
        <f>INDEX(Q1_Paeds,18,19)</f>
        <v>No data</v>
      </c>
      <c r="Z21" s="221" t="str">
        <f>INDEX(Q1_Paeds,18,21)</f>
        <v>No data</v>
      </c>
      <c r="AA21" s="222" t="str">
        <f>INDEX(Q1_Paeds,18,22)</f>
        <v>No data</v>
      </c>
    </row>
    <row r="22" spans="2:27" s="8" customFormat="1" ht="21.75" customHeight="1" thickTop="1" thickBot="1" x14ac:dyDescent="0.35">
      <c r="B22" s="30" t="s">
        <v>52</v>
      </c>
      <c r="C22" s="30" t="s">
        <v>23</v>
      </c>
      <c r="D22" s="62">
        <v>3</v>
      </c>
      <c r="E22" s="30" t="s">
        <v>21</v>
      </c>
      <c r="F22" s="216">
        <f>INDEX(Q1_Paeds,19,7)</f>
        <v>0</v>
      </c>
      <c r="G22" s="223">
        <f>INDEX(Q1_Paeds,19,8)</f>
        <v>0</v>
      </c>
      <c r="H22" s="213">
        <f>INDEX(Q1_Paeds,19,9)</f>
        <v>0</v>
      </c>
      <c r="I22" s="203">
        <f t="shared" si="0"/>
        <v>0</v>
      </c>
      <c r="J22" s="204">
        <f>INDEX(Q1_Paeds,19,10)</f>
        <v>0</v>
      </c>
      <c r="K22" s="203">
        <f t="shared" si="1"/>
        <v>0</v>
      </c>
      <c r="L22" s="204">
        <f>INDEX(Q1_Paeds,19,11)</f>
        <v>0</v>
      </c>
      <c r="M22" s="203">
        <f t="shared" si="2"/>
        <v>0</v>
      </c>
      <c r="N22" s="204">
        <f>INDEX(Q1_Paeds,19,12)</f>
        <v>0</v>
      </c>
      <c r="O22" s="203">
        <f t="shared" si="3"/>
        <v>0</v>
      </c>
      <c r="P22" s="205">
        <f>INDEX(Q1_Paeds,19,13)</f>
        <v>0</v>
      </c>
      <c r="Q22" s="202">
        <f>INDEX(Q1_Paeds,19,15)</f>
        <v>39</v>
      </c>
      <c r="R22" s="203">
        <f t="shared" si="4"/>
        <v>0.9285714285714286</v>
      </c>
      <c r="S22" s="204">
        <f>INDEX(Q1_Paeds,19,16)</f>
        <v>1</v>
      </c>
      <c r="T22" s="214">
        <f t="shared" si="5"/>
        <v>2.3809523809523808E-2</v>
      </c>
      <c r="U22" s="206">
        <f>INDEX(Q1_Paeds,19,17)</f>
        <v>2</v>
      </c>
      <c r="V22" s="203">
        <f t="shared" si="6"/>
        <v>4.7619047619047616E-2</v>
      </c>
      <c r="W22" s="204">
        <f>INDEX(Q1_Paeds,19,18)</f>
        <v>0</v>
      </c>
      <c r="X22" s="203">
        <f t="shared" si="7"/>
        <v>0</v>
      </c>
      <c r="Y22" s="205">
        <f>INDEX(Q1_Paeds,19,19)</f>
        <v>42</v>
      </c>
      <c r="Z22" s="217">
        <f>INDEX(Q1_Paeds,19,21)</f>
        <v>7.0000000000000007E-2</v>
      </c>
      <c r="AA22" s="218">
        <f>INDEX(Q1_Paeds,19,22)</f>
        <v>0.04</v>
      </c>
    </row>
    <row r="23" spans="2:27" s="8" customFormat="1" ht="21.75" customHeight="1" thickTop="1" thickBot="1" x14ac:dyDescent="0.35">
      <c r="B23" s="31" t="s">
        <v>57</v>
      </c>
      <c r="C23" s="31" t="s">
        <v>23</v>
      </c>
      <c r="D23" s="63">
        <v>3</v>
      </c>
      <c r="E23" s="31" t="s">
        <v>21</v>
      </c>
      <c r="F23" s="219">
        <f>INDEX(Q1_Paeds,20,7)</f>
        <v>44</v>
      </c>
      <c r="G23" s="220">
        <f>INDEX(Q1_Paeds,20,8)</f>
        <v>44</v>
      </c>
      <c r="H23" s="211">
        <f>INDEX(Q1_Paeds,20,9)</f>
        <v>40</v>
      </c>
      <c r="I23" s="208">
        <f t="shared" si="0"/>
        <v>0.7407407407407407</v>
      </c>
      <c r="J23" s="209">
        <f>INDEX(Q1_Paeds,20,10)</f>
        <v>14</v>
      </c>
      <c r="K23" s="208">
        <f t="shared" si="1"/>
        <v>0.25925925925925924</v>
      </c>
      <c r="L23" s="209">
        <f>INDEX(Q1_Paeds,20,11)</f>
        <v>0</v>
      </c>
      <c r="M23" s="208">
        <f t="shared" si="2"/>
        <v>0</v>
      </c>
      <c r="N23" s="209">
        <f>INDEX(Q1_Paeds,20,12)</f>
        <v>0</v>
      </c>
      <c r="O23" s="208">
        <f t="shared" si="3"/>
        <v>0</v>
      </c>
      <c r="P23" s="210">
        <f>INDEX(Q1_Paeds,20,13)</f>
        <v>54</v>
      </c>
      <c r="Q23" s="211">
        <f>INDEX(Q1_Paeds,20,15)</f>
        <v>16</v>
      </c>
      <c r="R23" s="208">
        <f t="shared" si="4"/>
        <v>0.16842105263157894</v>
      </c>
      <c r="S23" s="209">
        <f>INDEX(Q1_Paeds,20,16)</f>
        <v>28</v>
      </c>
      <c r="T23" s="208">
        <f t="shared" si="5"/>
        <v>0.29473684210526313</v>
      </c>
      <c r="U23" s="215">
        <f>INDEX(Q1_Paeds,20,17)</f>
        <v>37</v>
      </c>
      <c r="V23" s="208">
        <f t="shared" si="6"/>
        <v>0.38947368421052631</v>
      </c>
      <c r="W23" s="209">
        <f>INDEX(Q1_Paeds,20,18)</f>
        <v>14</v>
      </c>
      <c r="X23" s="208">
        <f t="shared" si="7"/>
        <v>0.14736842105263157</v>
      </c>
      <c r="Y23" s="210">
        <f>INDEX(Q1_Paeds,20,19)</f>
        <v>95</v>
      </c>
      <c r="Z23" s="221">
        <f>INDEX(Q1_Paeds,20,21)</f>
        <v>0.15</v>
      </c>
      <c r="AA23" s="222">
        <f>INDEX(Q1_Paeds,20,22)</f>
        <v>0.02</v>
      </c>
    </row>
    <row r="24" spans="2:27" s="8" customFormat="1" ht="21.75" customHeight="1" thickTop="1" thickBot="1" x14ac:dyDescent="0.35">
      <c r="B24" s="32" t="s">
        <v>54</v>
      </c>
      <c r="C24" s="32" t="s">
        <v>23</v>
      </c>
      <c r="D24" s="64">
        <v>3</v>
      </c>
      <c r="E24" s="32" t="s">
        <v>21</v>
      </c>
      <c r="F24" s="216">
        <f>INDEX(Q1_Paeds,21,7)</f>
        <v>4</v>
      </c>
      <c r="G24" s="223">
        <f>INDEX(Q1_Paeds,21,8)</f>
        <v>4</v>
      </c>
      <c r="H24" s="202">
        <f>INDEX(Q1_Paeds,21,9)</f>
        <v>28</v>
      </c>
      <c r="I24" s="203">
        <f t="shared" si="0"/>
        <v>0.24347826086956523</v>
      </c>
      <c r="J24" s="204">
        <f>INDEX(Q1_Paeds,21,10)</f>
        <v>66</v>
      </c>
      <c r="K24" s="203">
        <f t="shared" si="1"/>
        <v>0.57391304347826089</v>
      </c>
      <c r="L24" s="204">
        <f>INDEX(Q1_Paeds,21,11)</f>
        <v>20</v>
      </c>
      <c r="M24" s="203">
        <f t="shared" si="2"/>
        <v>0.17391304347826086</v>
      </c>
      <c r="N24" s="204">
        <f>INDEX(Q1_Paeds,21,12)</f>
        <v>1</v>
      </c>
      <c r="O24" s="203">
        <f t="shared" si="3"/>
        <v>8.6956521739130436E-3</v>
      </c>
      <c r="P24" s="205">
        <f>INDEX(Q1_Paeds,21,13)</f>
        <v>115</v>
      </c>
      <c r="Q24" s="202">
        <f>INDEX(Q1_Paeds,21,15)</f>
        <v>25</v>
      </c>
      <c r="R24" s="203">
        <f t="shared" si="4"/>
        <v>0.17123287671232876</v>
      </c>
      <c r="S24" s="204">
        <f>INDEX(Q1_Paeds,21,16)</f>
        <v>30</v>
      </c>
      <c r="T24" s="203">
        <f t="shared" si="5"/>
        <v>0.20547945205479451</v>
      </c>
      <c r="U24" s="206">
        <f>INDEX(Q1_Paeds,21,17)</f>
        <v>72</v>
      </c>
      <c r="V24" s="203">
        <f t="shared" si="6"/>
        <v>0.49315068493150682</v>
      </c>
      <c r="W24" s="204">
        <f>INDEX(Q1_Paeds,21,18)</f>
        <v>19</v>
      </c>
      <c r="X24" s="203">
        <f t="shared" si="7"/>
        <v>0.13013698630136986</v>
      </c>
      <c r="Y24" s="205">
        <f>INDEX(Q1_Paeds,21,19)</f>
        <v>146</v>
      </c>
      <c r="Z24" s="217">
        <f>INDEX(Q1_Paeds,21,21)</f>
        <v>0.03</v>
      </c>
      <c r="AA24" s="218">
        <f>INDEX(Q1_Paeds,21,22)</f>
        <v>0</v>
      </c>
    </row>
    <row r="25" spans="2:27" s="8" customFormat="1" ht="21.75" customHeight="1" thickTop="1" thickBot="1" x14ac:dyDescent="0.35">
      <c r="B25" s="29" t="s">
        <v>62</v>
      </c>
      <c r="C25" s="29" t="s">
        <v>23</v>
      </c>
      <c r="D25" s="61">
        <v>3</v>
      </c>
      <c r="E25" s="29" t="s">
        <v>21</v>
      </c>
      <c r="F25" s="219" t="str">
        <f>INDEX(Q1_Paeds,22,7)</f>
        <v>No data</v>
      </c>
      <c r="G25" s="220" t="str">
        <f>INDEX(Q1_Paeds,22,8)</f>
        <v>No data</v>
      </c>
      <c r="H25" s="211" t="str">
        <f>INDEX(Q1_Paeds,22,9)</f>
        <v>No data</v>
      </c>
      <c r="I25" s="208">
        <f t="shared" si="0"/>
        <v>0</v>
      </c>
      <c r="J25" s="209" t="str">
        <f>INDEX(Q1_Paeds,22,10)</f>
        <v>No data</v>
      </c>
      <c r="K25" s="208">
        <f t="shared" si="1"/>
        <v>0</v>
      </c>
      <c r="L25" s="209" t="str">
        <f>INDEX(Q1_Paeds,22,11)</f>
        <v>No data</v>
      </c>
      <c r="M25" s="208">
        <f t="shared" si="2"/>
        <v>0</v>
      </c>
      <c r="N25" s="209" t="str">
        <f>INDEX(Q1_Paeds,22,12)</f>
        <v>No data</v>
      </c>
      <c r="O25" s="208">
        <f t="shared" si="3"/>
        <v>0</v>
      </c>
      <c r="P25" s="210" t="str">
        <f>INDEX(Q1_Paeds,22,13)</f>
        <v>No data</v>
      </c>
      <c r="Q25" s="211" t="str">
        <f>INDEX(Q1_Paeds,22,15)</f>
        <v>No data</v>
      </c>
      <c r="R25" s="208">
        <f t="shared" si="4"/>
        <v>0</v>
      </c>
      <c r="S25" s="209" t="str">
        <f>INDEX(Q1_Paeds,22,16)</f>
        <v>No data</v>
      </c>
      <c r="T25" s="208">
        <f t="shared" si="5"/>
        <v>0</v>
      </c>
      <c r="U25" s="215" t="str">
        <f>INDEX(Q1_Paeds,22,17)</f>
        <v>No data</v>
      </c>
      <c r="V25" s="208">
        <f t="shared" si="6"/>
        <v>0</v>
      </c>
      <c r="W25" s="209" t="str">
        <f>INDEX(Q1_Paeds,22,18)</f>
        <v>No data</v>
      </c>
      <c r="X25" s="208">
        <f t="shared" si="7"/>
        <v>0</v>
      </c>
      <c r="Y25" s="210" t="str">
        <f>INDEX(Q1_Paeds,22,19)</f>
        <v>No data</v>
      </c>
      <c r="Z25" s="221" t="str">
        <f>INDEX(Q1_Paeds,22,21)</f>
        <v>No data</v>
      </c>
      <c r="AA25" s="222" t="str">
        <f>INDEX(Q1_Paeds,22,22)</f>
        <v>No data</v>
      </c>
    </row>
    <row r="26" spans="2:27" ht="15" thickTop="1" x14ac:dyDescent="0.3">
      <c r="B26" s="16"/>
      <c r="C26" s="16"/>
      <c r="D26" s="16"/>
      <c r="E26" s="16"/>
      <c r="F26" s="15"/>
      <c r="G26" s="15"/>
      <c r="H26" s="120"/>
      <c r="I26" s="15"/>
      <c r="J26" s="120"/>
      <c r="K26" s="15"/>
      <c r="L26" s="120"/>
      <c r="M26" s="15"/>
      <c r="N26" s="120"/>
      <c r="O26" s="15"/>
      <c r="P26" s="15"/>
      <c r="Q26" s="120"/>
      <c r="R26" s="15"/>
      <c r="S26" s="120"/>
      <c r="T26" s="15"/>
      <c r="U26" s="120"/>
      <c r="V26" s="15"/>
      <c r="W26" s="120"/>
      <c r="X26" s="15"/>
      <c r="Y26" s="15"/>
      <c r="Z26" s="15"/>
      <c r="AA26" s="15"/>
    </row>
    <row r="27" spans="2:27" ht="15" thickBot="1" x14ac:dyDescent="0.35">
      <c r="B27" s="16"/>
      <c r="C27" s="16"/>
      <c r="D27" s="16"/>
      <c r="E27" s="16"/>
      <c r="F27" s="15"/>
      <c r="G27" s="15"/>
      <c r="H27" s="120"/>
      <c r="I27" s="15"/>
      <c r="J27" s="120"/>
      <c r="K27" s="15"/>
      <c r="L27" s="120"/>
      <c r="M27" s="15"/>
      <c r="N27" s="120"/>
      <c r="O27" s="15"/>
      <c r="P27" s="15"/>
      <c r="Q27" s="120"/>
      <c r="R27" s="15"/>
      <c r="S27" s="120"/>
      <c r="T27" s="15"/>
      <c r="U27" s="120"/>
      <c r="V27" s="15"/>
      <c r="W27" s="120"/>
      <c r="X27" s="15"/>
      <c r="Y27" s="15"/>
      <c r="Z27" s="15"/>
      <c r="AA27" s="15"/>
    </row>
    <row r="28" spans="2:27" ht="14.4" x14ac:dyDescent="0.3">
      <c r="B28" s="319" t="s">
        <v>86</v>
      </c>
      <c r="C28" s="320" t="s">
        <v>87</v>
      </c>
      <c r="D28" s="321"/>
      <c r="E28" s="322"/>
      <c r="F28" s="329" t="s">
        <v>78</v>
      </c>
      <c r="G28" s="300"/>
      <c r="H28" s="330"/>
      <c r="I28" s="331"/>
      <c r="J28" s="334" t="s">
        <v>84</v>
      </c>
      <c r="K28" s="335"/>
      <c r="L28" s="309" t="s">
        <v>84</v>
      </c>
      <c r="M28" s="310"/>
      <c r="N28" s="313" t="s">
        <v>84</v>
      </c>
      <c r="O28" s="314"/>
      <c r="P28" s="164"/>
      <c r="Q28" s="330"/>
      <c r="R28" s="331"/>
      <c r="S28" s="334" t="s">
        <v>84</v>
      </c>
      <c r="T28" s="335"/>
      <c r="U28" s="309" t="s">
        <v>84</v>
      </c>
      <c r="V28" s="310"/>
      <c r="W28" s="313" t="s">
        <v>84</v>
      </c>
      <c r="X28" s="314"/>
      <c r="Y28" s="129"/>
      <c r="Z28" s="299" t="s">
        <v>81</v>
      </c>
      <c r="AA28" s="300"/>
    </row>
    <row r="29" spans="2:27" ht="14.4" x14ac:dyDescent="0.3">
      <c r="B29" s="319"/>
      <c r="C29" s="323"/>
      <c r="D29" s="324"/>
      <c r="E29" s="325"/>
      <c r="F29" s="301" t="s">
        <v>79</v>
      </c>
      <c r="G29" s="302"/>
      <c r="H29" s="332"/>
      <c r="I29" s="333"/>
      <c r="J29" s="336"/>
      <c r="K29" s="337"/>
      <c r="L29" s="311"/>
      <c r="M29" s="312"/>
      <c r="N29" s="315"/>
      <c r="O29" s="316"/>
      <c r="P29" s="165"/>
      <c r="Q29" s="332"/>
      <c r="R29" s="333"/>
      <c r="S29" s="336"/>
      <c r="T29" s="337"/>
      <c r="U29" s="311"/>
      <c r="V29" s="312"/>
      <c r="W29" s="315"/>
      <c r="X29" s="316"/>
      <c r="Y29" s="130"/>
      <c r="Z29" s="303" t="s">
        <v>82</v>
      </c>
      <c r="AA29" s="302"/>
    </row>
    <row r="30" spans="2:27" ht="15" thickBot="1" x14ac:dyDescent="0.35">
      <c r="B30" s="319"/>
      <c r="C30" s="326"/>
      <c r="D30" s="327"/>
      <c r="E30" s="328"/>
      <c r="F30" s="342" t="s">
        <v>80</v>
      </c>
      <c r="G30" s="308"/>
      <c r="H30" s="304"/>
      <c r="I30" s="305"/>
      <c r="J30" s="306" t="s">
        <v>85</v>
      </c>
      <c r="K30" s="305"/>
      <c r="L30" s="306" t="s">
        <v>85</v>
      </c>
      <c r="M30" s="305"/>
      <c r="N30" s="306" t="s">
        <v>85</v>
      </c>
      <c r="O30" s="305"/>
      <c r="P30" s="162"/>
      <c r="Q30" s="304"/>
      <c r="R30" s="305"/>
      <c r="S30" s="306" t="s">
        <v>85</v>
      </c>
      <c r="T30" s="305"/>
      <c r="U30" s="306" t="s">
        <v>85</v>
      </c>
      <c r="V30" s="305"/>
      <c r="W30" s="306" t="s">
        <v>85</v>
      </c>
      <c r="X30" s="305"/>
      <c r="Y30" s="116"/>
      <c r="Z30" s="307" t="s">
        <v>83</v>
      </c>
      <c r="AA30" s="308"/>
    </row>
    <row r="31" spans="2:27" ht="14.4" x14ac:dyDescent="0.3">
      <c r="B31" s="17"/>
      <c r="C31" s="17"/>
      <c r="D31" s="17"/>
      <c r="E31" s="17"/>
      <c r="F31" s="18"/>
      <c r="G31" s="18"/>
      <c r="H31" s="121"/>
      <c r="I31" s="18"/>
      <c r="J31" s="121"/>
      <c r="K31" s="18"/>
      <c r="L31" s="121"/>
      <c r="M31" s="18"/>
      <c r="N31" s="121"/>
      <c r="O31" s="18"/>
      <c r="P31" s="18"/>
      <c r="Q31" s="121"/>
      <c r="R31" s="18"/>
      <c r="S31" s="121"/>
      <c r="T31" s="18"/>
      <c r="U31" s="121"/>
      <c r="V31" s="18"/>
      <c r="W31" s="121"/>
      <c r="X31" s="18"/>
      <c r="Y31" s="18"/>
      <c r="Z31" s="18"/>
      <c r="AA31" s="19"/>
    </row>
    <row r="32" spans="2:27" ht="14.4" x14ac:dyDescent="0.3">
      <c r="B32" s="15"/>
      <c r="C32" s="15"/>
      <c r="D32" s="15"/>
      <c r="E32" s="15"/>
      <c r="F32" s="20">
        <v>10</v>
      </c>
      <c r="G32" s="20">
        <v>10</v>
      </c>
      <c r="H32" s="122">
        <v>10</v>
      </c>
      <c r="I32" s="20"/>
      <c r="J32" s="122">
        <v>10</v>
      </c>
      <c r="K32" s="20">
        <v>10</v>
      </c>
      <c r="L32" s="122">
        <v>10</v>
      </c>
      <c r="M32" s="20"/>
      <c r="N32" s="122"/>
      <c r="O32" s="20"/>
      <c r="P32" s="20"/>
      <c r="Q32" s="122"/>
      <c r="R32" s="20"/>
      <c r="S32" s="122"/>
      <c r="T32" s="20"/>
      <c r="U32" s="122"/>
      <c r="V32" s="20"/>
      <c r="W32" s="122"/>
      <c r="X32" s="20"/>
      <c r="Y32" s="20"/>
      <c r="Z32" s="20"/>
      <c r="AA32" s="15"/>
    </row>
    <row r="33" spans="2:27" ht="14.4" x14ac:dyDescent="0.3">
      <c r="B33" s="16" t="s">
        <v>15</v>
      </c>
      <c r="C33" s="16"/>
      <c r="D33" s="16"/>
      <c r="E33" s="16"/>
      <c r="F33" s="21"/>
      <c r="G33" s="15"/>
      <c r="H33" s="120"/>
      <c r="I33" s="15"/>
      <c r="J33" s="120"/>
      <c r="K33" s="15"/>
      <c r="L33" s="120"/>
      <c r="M33" s="15"/>
      <c r="N33" s="120"/>
      <c r="O33" s="15"/>
      <c r="P33" s="15"/>
      <c r="Q33" s="120"/>
      <c r="R33" s="15"/>
      <c r="S33" s="120"/>
      <c r="T33" s="15"/>
      <c r="U33" s="120"/>
      <c r="V33" s="15"/>
      <c r="W33" s="120"/>
      <c r="X33" s="15"/>
      <c r="Y33" s="15"/>
      <c r="Z33" s="15"/>
      <c r="AA33" s="15"/>
    </row>
    <row r="34" spans="2:27" ht="14.4" x14ac:dyDescent="0.3">
      <c r="B34" s="22" t="s">
        <v>16</v>
      </c>
      <c r="C34" s="22"/>
      <c r="D34" s="22"/>
      <c r="E34" s="22"/>
      <c r="F34" s="15"/>
      <c r="G34" s="15"/>
      <c r="H34" s="120"/>
      <c r="I34" s="15"/>
      <c r="J34" s="120"/>
      <c r="K34" s="15"/>
      <c r="L34" s="120"/>
      <c r="M34" s="15"/>
      <c r="N34" s="120"/>
      <c r="O34" s="15"/>
      <c r="P34" s="15"/>
      <c r="Q34" s="120"/>
      <c r="R34" s="15"/>
      <c r="S34" s="120"/>
      <c r="T34" s="15"/>
      <c r="U34" s="120"/>
      <c r="V34" s="15"/>
      <c r="W34" s="120"/>
      <c r="X34" s="15"/>
      <c r="Y34" s="15"/>
      <c r="Z34" s="15"/>
      <c r="AA34" s="15"/>
    </row>
    <row r="35" spans="2:27" ht="14.4" x14ac:dyDescent="0.3">
      <c r="B35" s="23"/>
      <c r="C35" s="23"/>
      <c r="D35" s="23"/>
      <c r="E35" s="23"/>
      <c r="F35" s="15"/>
      <c r="G35" s="15"/>
      <c r="H35" s="120"/>
      <c r="I35" s="15"/>
      <c r="J35" s="120"/>
      <c r="K35" s="15"/>
      <c r="L35" s="120"/>
      <c r="M35" s="15"/>
      <c r="N35" s="120"/>
      <c r="O35" s="15"/>
      <c r="P35" s="15"/>
      <c r="Q35" s="120"/>
      <c r="R35" s="15"/>
      <c r="S35" s="120"/>
      <c r="T35" s="15"/>
      <c r="U35" s="120"/>
      <c r="V35" s="15"/>
      <c r="W35" s="120"/>
      <c r="X35" s="15"/>
      <c r="Y35" s="15"/>
      <c r="Z35" s="15"/>
      <c r="AA35" s="15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sheetProtection algorithmName="SHA-512" hashValue="tLB86ykTAInTcD48JLUC0T9xz5LQ7pBlfpnS/+WNujaNEFowcGbbsZJdMcqIt3BKBv/hSeZF5uXC9hqGkW/uNQ==" saltValue="ylyQJRlsboeYmcVYEwY0xg==" spinCount="100000" sheet="1" objects="1" scenarios="1" selectLockedCell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containsText" dxfId="170" priority="11" operator="containsText" text="N/A">
      <formula>NOT(ISERROR(SEARCH("N/A",F8)))</formula>
    </cfRule>
    <cfRule type="cellIs" dxfId="169" priority="18" operator="between">
      <formula>0.01</formula>
      <formula>13</formula>
    </cfRule>
    <cfRule type="cellIs" dxfId="168" priority="19" operator="between">
      <formula>13</formula>
      <formula>18</formula>
    </cfRule>
    <cfRule type="cellIs" dxfId="167" priority="20" operator="greaterThan">
      <formula>18</formula>
    </cfRule>
    <cfRule type="cellIs" dxfId="166" priority="21" operator="greaterThan">
      <formula>18</formula>
    </cfRule>
  </conditionalFormatting>
  <conditionalFormatting sqref="K8:K25 T8:T25">
    <cfRule type="cellIs" dxfId="165" priority="17" operator="greaterThan">
      <formula>0.49</formula>
    </cfRule>
  </conditionalFormatting>
  <conditionalFormatting sqref="V8:V25 M8:M25">
    <cfRule type="cellIs" dxfId="164" priority="16" operator="greaterThan">
      <formula>0.49</formula>
    </cfRule>
  </conditionalFormatting>
  <conditionalFormatting sqref="O8:O25 X8:X25">
    <cfRule type="cellIs" dxfId="163" priority="15" operator="greaterThan">
      <formula>0.49</formula>
    </cfRule>
  </conditionalFormatting>
  <conditionalFormatting sqref="Z8:AA25">
    <cfRule type="cellIs" dxfId="162" priority="12" operator="between">
      <formula>0.0001</formula>
      <formula>0.1</formula>
    </cfRule>
    <cfRule type="cellIs" dxfId="161" priority="13" operator="between">
      <formula>0.1</formula>
      <formula>0.19</formula>
    </cfRule>
    <cfRule type="cellIs" dxfId="160" priority="14" operator="greaterThan">
      <formula>0.2</formula>
    </cfRule>
  </conditionalFormatting>
  <conditionalFormatting sqref="J8:J25">
    <cfRule type="expression" dxfId="159" priority="10">
      <formula>($J8/$P8*100)&gt;49.49</formula>
    </cfRule>
  </conditionalFormatting>
  <conditionalFormatting sqref="L8:L25">
    <cfRule type="expression" dxfId="158" priority="9">
      <formula>($L8/$P8*100)&gt;49.49</formula>
    </cfRule>
  </conditionalFormatting>
  <conditionalFormatting sqref="N8:N25">
    <cfRule type="expression" dxfId="157" priority="8">
      <formula>($N8/$P8*100)&gt;49.49</formula>
    </cfRule>
  </conditionalFormatting>
  <conditionalFormatting sqref="S8:S25">
    <cfRule type="expression" dxfId="156" priority="7">
      <formula>($S8/$Y8*100)&gt;49.49</formula>
    </cfRule>
  </conditionalFormatting>
  <conditionalFormatting sqref="U8:U25">
    <cfRule type="expression" dxfId="155" priority="6">
      <formula>($U8/$Y8*100)&gt;49.49</formula>
    </cfRule>
  </conditionalFormatting>
  <conditionalFormatting sqref="W8:W25">
    <cfRule type="expression" dxfId="154" priority="5">
      <formula>($W8/$Y8*100)&gt;49.49</formula>
    </cfRule>
  </conditionalFormatting>
  <conditionalFormatting sqref="L9">
    <cfRule type="expression" dxfId="153" priority="4">
      <formula>"$M$9=&gt;.499"</formula>
    </cfRule>
  </conditionalFormatting>
  <conditionalFormatting sqref="F8:AA25">
    <cfRule type="expression" dxfId="152" priority="1">
      <formula>$F8="No data"</formula>
    </cfRule>
  </conditionalFormatting>
  <hyperlinks>
    <hyperlink ref="C28:E30" location="Sheet1!A1" display="For more information on rag ratings please click here" xr:uid="{00000000-0004-0000-0300-000000000000}"/>
    <hyperlink ref="B3" location="'Front Page'!A1" display="Return to Contents" xr:uid="{00000000-0004-0000-0300-000001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56"/>
  <sheetViews>
    <sheetView showGridLines="0" zoomScale="70" zoomScaleNormal="70" workbookViewId="0">
      <selection activeCell="Y1" sqref="Y1:AA1"/>
    </sheetView>
  </sheetViews>
  <sheetFormatPr defaultColWidth="0" defaultRowHeight="14.4" customHeight="1" zeroHeight="1" x14ac:dyDescent="0.3"/>
  <cols>
    <col min="1" max="29" width="9.109375" style="33" customWidth="1"/>
    <col min="30" max="16384" width="9.109375" style="33" hidden="1"/>
  </cols>
  <sheetData>
    <row r="1" spans="1:29" s="10" customFormat="1" ht="35.25" customHeight="1" x14ac:dyDescent="0.3">
      <c r="A1" s="352" t="s">
        <v>96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434" t="s">
        <v>95</v>
      </c>
      <c r="Z1" s="434"/>
      <c r="AA1" s="434"/>
    </row>
    <row r="2" spans="1:29" s="80" customFormat="1" ht="30" customHeight="1" x14ac:dyDescent="0.3">
      <c r="A2" s="354" t="s">
        <v>190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</row>
    <row r="3" spans="1:29" s="81" customFormat="1" ht="25.5" customHeight="1" x14ac:dyDescent="0.3">
      <c r="B3" s="82" t="s">
        <v>106</v>
      </c>
    </row>
    <row r="4" spans="1:29" s="12" customFormat="1" x14ac:dyDescent="0.3"/>
    <row r="5" spans="1:29" s="12" customFormat="1" x14ac:dyDescent="0.3"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</row>
    <row r="6" spans="1:29" s="12" customFormat="1" x14ac:dyDescent="0.3"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</row>
    <row r="7" spans="1:29" s="12" customFormat="1" x14ac:dyDescent="0.3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</row>
    <row r="8" spans="1:29" s="12" customFormat="1" x14ac:dyDescent="0.3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</row>
    <row r="9" spans="1:29" s="12" customFormat="1" x14ac:dyDescent="0.3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</row>
    <row r="10" spans="1:29" s="12" customFormat="1" x14ac:dyDescent="0.3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</row>
    <row r="11" spans="1:29" s="12" customFormat="1" x14ac:dyDescent="0.3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</row>
    <row r="12" spans="1:29" s="12" customFormat="1" x14ac:dyDescent="0.3"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</row>
    <row r="13" spans="1:29" s="12" customFormat="1" x14ac:dyDescent="0.3"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</row>
    <row r="14" spans="1:29" s="12" customFormat="1" x14ac:dyDescent="0.3"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</row>
    <row r="15" spans="1:29" s="12" customFormat="1" x14ac:dyDescent="0.3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</row>
    <row r="16" spans="1:29" s="12" customFormat="1" x14ac:dyDescent="0.3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</row>
    <row r="17" spans="2:28" s="12" customFormat="1" x14ac:dyDescent="0.3"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</row>
    <row r="18" spans="2:28" s="12" customFormat="1" x14ac:dyDescent="0.3"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</row>
    <row r="19" spans="2:28" s="12" customFormat="1" x14ac:dyDescent="0.3"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</row>
    <row r="20" spans="2:28" s="12" customFormat="1" x14ac:dyDescent="0.3"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</row>
    <row r="21" spans="2:28" s="12" customFormat="1" x14ac:dyDescent="0.3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</row>
    <row r="22" spans="2:28" s="12" customFormat="1" x14ac:dyDescent="0.3"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</row>
    <row r="23" spans="2:28" s="12" customFormat="1" x14ac:dyDescent="0.3"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</row>
    <row r="24" spans="2:28" s="12" customFormat="1" x14ac:dyDescent="0.3"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</row>
    <row r="25" spans="2:28" s="12" customFormat="1" x14ac:dyDescent="0.3"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</row>
    <row r="26" spans="2:28" s="12" customFormat="1" x14ac:dyDescent="0.3"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</row>
    <row r="27" spans="2:28" s="12" customFormat="1" x14ac:dyDescent="0.3"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</row>
    <row r="28" spans="2:28" s="12" customFormat="1" x14ac:dyDescent="0.3"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</row>
    <row r="29" spans="2:28" s="12" customFormat="1" x14ac:dyDescent="0.3"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</row>
    <row r="30" spans="2:28" s="12" customFormat="1" x14ac:dyDescent="0.3"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</row>
    <row r="31" spans="2:28" s="12" customFormat="1" x14ac:dyDescent="0.3"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</row>
    <row r="32" spans="2:28" s="12" customFormat="1" x14ac:dyDescent="0.3"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</row>
    <row r="33" spans="1:28" s="12" customFormat="1" x14ac:dyDescent="0.3"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</row>
    <row r="34" spans="1:28" s="12" customFormat="1" x14ac:dyDescent="0.3"/>
    <row r="35" spans="1:28" s="12" customFormat="1" x14ac:dyDescent="0.3"/>
    <row r="36" spans="1:28" s="81" customFormat="1" ht="25.5" customHeight="1" x14ac:dyDescent="0.3">
      <c r="B36" s="82" t="s">
        <v>97</v>
      </c>
    </row>
    <row r="37" spans="1:28" s="12" customFormat="1" x14ac:dyDescent="0.3"/>
    <row r="38" spans="1:28" s="79" customFormat="1" x14ac:dyDescent="0.3">
      <c r="A38" s="12"/>
    </row>
    <row r="39" spans="1:28" s="79" customFormat="1" x14ac:dyDescent="0.3">
      <c r="A39" s="12"/>
    </row>
    <row r="40" spans="1:28" s="79" customFormat="1" x14ac:dyDescent="0.3">
      <c r="A40" s="12"/>
    </row>
    <row r="41" spans="1:28" s="79" customFormat="1" x14ac:dyDescent="0.3">
      <c r="A41" s="12"/>
    </row>
    <row r="42" spans="1:28" s="79" customFormat="1" x14ac:dyDescent="0.3">
      <c r="A42" s="12"/>
    </row>
    <row r="43" spans="1:28" s="79" customFormat="1" x14ac:dyDescent="0.3">
      <c r="A43" s="12"/>
    </row>
    <row r="44" spans="1:28" s="79" customFormat="1" x14ac:dyDescent="0.3">
      <c r="A44" s="12"/>
    </row>
    <row r="45" spans="1:28" s="79" customFormat="1" x14ac:dyDescent="0.3">
      <c r="A45" s="12"/>
    </row>
    <row r="46" spans="1:28" s="79" customFormat="1" x14ac:dyDescent="0.3">
      <c r="A46" s="12"/>
    </row>
    <row r="47" spans="1:28" s="79" customFormat="1" x14ac:dyDescent="0.3">
      <c r="A47" s="12"/>
    </row>
    <row r="48" spans="1:28" s="79" customFormat="1" x14ac:dyDescent="0.3">
      <c r="A48" s="12"/>
    </row>
    <row r="49" spans="1:1" s="79" customFormat="1" x14ac:dyDescent="0.3">
      <c r="A49" s="12"/>
    </row>
    <row r="50" spans="1:1" s="79" customFormat="1" x14ac:dyDescent="0.3">
      <c r="A50" s="12"/>
    </row>
    <row r="51" spans="1:1" s="79" customFormat="1" x14ac:dyDescent="0.3">
      <c r="A51" s="12"/>
    </row>
    <row r="52" spans="1:1" s="79" customFormat="1" x14ac:dyDescent="0.3">
      <c r="A52" s="12"/>
    </row>
    <row r="53" spans="1:1" s="79" customFormat="1" x14ac:dyDescent="0.3">
      <c r="A53" s="12"/>
    </row>
    <row r="54" spans="1:1" s="79" customFormat="1" x14ac:dyDescent="0.3">
      <c r="A54" s="12"/>
    </row>
    <row r="55" spans="1:1" s="79" customFormat="1" x14ac:dyDescent="0.3">
      <c r="A55" s="12"/>
    </row>
    <row r="56" spans="1:1" s="79" customFormat="1" x14ac:dyDescent="0.3">
      <c r="A56" s="12"/>
    </row>
    <row r="57" spans="1:1" s="79" customFormat="1" x14ac:dyDescent="0.3">
      <c r="A57" s="12"/>
    </row>
    <row r="58" spans="1:1" s="79" customFormat="1" x14ac:dyDescent="0.3">
      <c r="A58" s="12"/>
    </row>
    <row r="59" spans="1:1" s="79" customFormat="1" x14ac:dyDescent="0.3">
      <c r="A59" s="12"/>
    </row>
    <row r="60" spans="1:1" s="79" customFormat="1" x14ac:dyDescent="0.3">
      <c r="A60" s="12"/>
    </row>
    <row r="61" spans="1:1" s="79" customFormat="1" x14ac:dyDescent="0.3">
      <c r="A61" s="12"/>
    </row>
    <row r="62" spans="1:1" s="79" customFormat="1" x14ac:dyDescent="0.3">
      <c r="A62" s="12"/>
    </row>
    <row r="63" spans="1:1" s="79" customFormat="1" x14ac:dyDescent="0.3">
      <c r="A63" s="12"/>
    </row>
    <row r="64" spans="1:1" s="79" customFormat="1" x14ac:dyDescent="0.3">
      <c r="A64" s="12"/>
    </row>
    <row r="65" spans="1:1" s="79" customFormat="1" x14ac:dyDescent="0.3">
      <c r="A65" s="12"/>
    </row>
    <row r="66" spans="1:1" s="79" customFormat="1" x14ac:dyDescent="0.3">
      <c r="A66" s="12"/>
    </row>
    <row r="67" spans="1:1" s="79" customFormat="1" x14ac:dyDescent="0.3">
      <c r="A67" s="12"/>
    </row>
    <row r="68" spans="1:1" s="79" customFormat="1" x14ac:dyDescent="0.3">
      <c r="A68" s="12"/>
    </row>
    <row r="69" spans="1:1" s="79" customFormat="1" x14ac:dyDescent="0.3">
      <c r="A69" s="12"/>
    </row>
    <row r="70" spans="1:1" s="79" customFormat="1" x14ac:dyDescent="0.3">
      <c r="A70" s="12"/>
    </row>
    <row r="71" spans="1:1" s="79" customFormat="1" x14ac:dyDescent="0.3">
      <c r="A71" s="12"/>
    </row>
    <row r="72" spans="1:1" s="79" customFormat="1" x14ac:dyDescent="0.3">
      <c r="A72" s="12"/>
    </row>
    <row r="73" spans="1:1" s="79" customFormat="1" x14ac:dyDescent="0.3">
      <c r="A73" s="12"/>
    </row>
    <row r="74" spans="1:1" s="79" customFormat="1" x14ac:dyDescent="0.3">
      <c r="A74" s="12"/>
    </row>
    <row r="75" spans="1:1" s="79" customFormat="1" x14ac:dyDescent="0.3">
      <c r="A75" s="12"/>
    </row>
    <row r="76" spans="1:1" s="79" customFormat="1" x14ac:dyDescent="0.3">
      <c r="A76" s="12"/>
    </row>
    <row r="77" spans="1:1" s="79" customFormat="1" x14ac:dyDescent="0.3">
      <c r="A77" s="12"/>
    </row>
    <row r="78" spans="1:1" s="79" customFormat="1" x14ac:dyDescent="0.3">
      <c r="A78" s="12"/>
    </row>
    <row r="79" spans="1:1" s="79" customFormat="1" x14ac:dyDescent="0.3">
      <c r="A79" s="12"/>
    </row>
    <row r="80" spans="1:1" s="79" customFormat="1" x14ac:dyDescent="0.3">
      <c r="A80" s="12"/>
    </row>
    <row r="81" spans="1:29" s="79" customFormat="1" x14ac:dyDescent="0.3">
      <c r="A81" s="12"/>
    </row>
    <row r="82" spans="1:29" s="79" customFormat="1" x14ac:dyDescent="0.3">
      <c r="A82" s="12"/>
    </row>
    <row r="83" spans="1:29" s="79" customFormat="1" x14ac:dyDescent="0.3">
      <c r="A83" s="12"/>
    </row>
    <row r="84" spans="1:29" s="79" customFormat="1" x14ac:dyDescent="0.3">
      <c r="A84" s="12"/>
    </row>
    <row r="85" spans="1:29" s="79" customFormat="1" x14ac:dyDescent="0.3">
      <c r="A85" s="12"/>
    </row>
    <row r="86" spans="1:29" s="79" customFormat="1" x14ac:dyDescent="0.3">
      <c r="A86" s="12"/>
    </row>
    <row r="87" spans="1:29" s="79" customFormat="1" x14ac:dyDescent="0.3">
      <c r="A87" s="12"/>
    </row>
    <row r="88" spans="1:29" s="79" customFormat="1" x14ac:dyDescent="0.3">
      <c r="A88" s="12"/>
    </row>
    <row r="89" spans="1:29" s="12" customFormat="1" x14ac:dyDescent="0.3"/>
    <row r="90" spans="1:29" s="12" customFormat="1" x14ac:dyDescent="0.3"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</row>
    <row r="91" spans="1:29" s="12" customFormat="1" x14ac:dyDescent="0.3"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</row>
    <row r="92" spans="1:29" s="12" customFormat="1" x14ac:dyDescent="0.3"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</row>
    <row r="93" spans="1:29" s="12" customFormat="1" x14ac:dyDescent="0.3"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</row>
    <row r="94" spans="1:29" s="12" customFormat="1" x14ac:dyDescent="0.3"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</row>
    <row r="95" spans="1:29" s="12" customFormat="1" x14ac:dyDescent="0.3"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</row>
    <row r="96" spans="1:29" s="12" customFormat="1" x14ac:dyDescent="0.3"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</row>
    <row r="97" spans="2:29" s="12" customFormat="1" x14ac:dyDescent="0.3"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</row>
    <row r="98" spans="2:29" s="12" customFormat="1" x14ac:dyDescent="0.3"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</row>
    <row r="99" spans="2:29" s="12" customFormat="1" x14ac:dyDescent="0.3"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</row>
    <row r="100" spans="2:29" s="12" customFormat="1" x14ac:dyDescent="0.3"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</row>
    <row r="101" spans="2:29" s="12" customFormat="1" x14ac:dyDescent="0.3"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</row>
    <row r="102" spans="2:29" s="12" customFormat="1" x14ac:dyDescent="0.3"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</row>
    <row r="103" spans="2:29" s="12" customFormat="1" x14ac:dyDescent="0.3"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</row>
    <row r="104" spans="2:29" s="12" customFormat="1" x14ac:dyDescent="0.3"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</row>
    <row r="105" spans="2:29" s="12" customFormat="1" x14ac:dyDescent="0.3"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</row>
    <row r="106" spans="2:29" s="12" customFormat="1" x14ac:dyDescent="0.3"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</row>
    <row r="107" spans="2:29" s="12" customFormat="1" x14ac:dyDescent="0.3"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</row>
    <row r="108" spans="2:29" s="12" customFormat="1" x14ac:dyDescent="0.3"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</row>
    <row r="109" spans="2:29" s="12" customFormat="1" x14ac:dyDescent="0.3"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</row>
    <row r="110" spans="2:29" s="12" customFormat="1" x14ac:dyDescent="0.3"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</row>
    <row r="111" spans="2:29" s="12" customFormat="1" x14ac:dyDescent="0.3"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</row>
    <row r="112" spans="2:29" s="12" customFormat="1" x14ac:dyDescent="0.3"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</row>
    <row r="113" spans="2:29" s="12" customFormat="1" x14ac:dyDescent="0.3"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</row>
    <row r="114" spans="2:29" s="12" customFormat="1" x14ac:dyDescent="0.3"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</row>
    <row r="115" spans="2:29" s="12" customFormat="1" x14ac:dyDescent="0.3"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</row>
    <row r="116" spans="2:29" s="12" customFormat="1" x14ac:dyDescent="0.3"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</row>
    <row r="117" spans="2:29" s="12" customFormat="1" x14ac:dyDescent="0.3"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</row>
    <row r="118" spans="2:29" s="12" customFormat="1" x14ac:dyDescent="0.3"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</row>
    <row r="119" spans="2:29" s="12" customFormat="1" x14ac:dyDescent="0.3"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</row>
    <row r="120" spans="2:29" s="12" customFormat="1" x14ac:dyDescent="0.3"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</row>
    <row r="121" spans="2:29" s="12" customFormat="1" x14ac:dyDescent="0.3"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</row>
    <row r="122" spans="2:29" s="12" customFormat="1" x14ac:dyDescent="0.3"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9"/>
    </row>
    <row r="123" spans="2:29" s="12" customFormat="1" x14ac:dyDescent="0.3"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79"/>
    </row>
    <row r="124" spans="2:29" s="12" customFormat="1" x14ac:dyDescent="0.3"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  <c r="AC124" s="79"/>
    </row>
    <row r="125" spans="2:29" s="12" customFormat="1" x14ac:dyDescent="0.3"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</row>
    <row r="126" spans="2:29" s="12" customFormat="1" x14ac:dyDescent="0.3"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</row>
    <row r="127" spans="2:29" s="12" customFormat="1" x14ac:dyDescent="0.3"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</row>
    <row r="128" spans="2:29" s="12" customFormat="1" x14ac:dyDescent="0.3"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79"/>
    </row>
    <row r="129" spans="2:29" s="12" customFormat="1" x14ac:dyDescent="0.3"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</row>
    <row r="130" spans="2:29" s="12" customFormat="1" x14ac:dyDescent="0.3"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79"/>
    </row>
    <row r="131" spans="2:29" s="12" customFormat="1" x14ac:dyDescent="0.3"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</row>
    <row r="132" spans="2:29" s="12" customFormat="1" x14ac:dyDescent="0.3"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C132" s="79"/>
    </row>
    <row r="133" spans="2:29" s="12" customFormat="1" x14ac:dyDescent="0.3"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</row>
    <row r="134" spans="2:29" s="12" customFormat="1" x14ac:dyDescent="0.3"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</row>
    <row r="135" spans="2:29" s="12" customFormat="1" x14ac:dyDescent="0.3"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79"/>
    </row>
    <row r="136" spans="2:29" s="12" customFormat="1" x14ac:dyDescent="0.3"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</row>
    <row r="137" spans="2:29" s="12" customFormat="1" x14ac:dyDescent="0.3"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</row>
    <row r="138" spans="2:29" s="12" customFormat="1" x14ac:dyDescent="0.3"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</row>
    <row r="139" spans="2:29" s="12" customFormat="1" x14ac:dyDescent="0.3"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</row>
    <row r="140" spans="2:29" s="12" customFormat="1" x14ac:dyDescent="0.3"/>
    <row r="141" spans="2:29" s="12" customFormat="1" x14ac:dyDescent="0.3"/>
    <row r="142" spans="2:29" s="81" customFormat="1" ht="25.5" customHeight="1" x14ac:dyDescent="0.3">
      <c r="B142" s="82" t="s">
        <v>3</v>
      </c>
    </row>
    <row r="143" spans="2:29" s="12" customFormat="1" x14ac:dyDescent="0.3"/>
    <row r="144" spans="2:29" s="12" customFormat="1" x14ac:dyDescent="0.3"/>
    <row r="145" spans="2:28" s="12" customFormat="1" x14ac:dyDescent="0.3"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</row>
    <row r="146" spans="2:28" s="12" customFormat="1" x14ac:dyDescent="0.3"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</row>
    <row r="147" spans="2:28" s="12" customFormat="1" x14ac:dyDescent="0.3"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</row>
    <row r="148" spans="2:28" s="12" customFormat="1" x14ac:dyDescent="0.3"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</row>
    <row r="149" spans="2:28" s="12" customFormat="1" x14ac:dyDescent="0.3"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</row>
    <row r="150" spans="2:28" s="12" customFormat="1" x14ac:dyDescent="0.3"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</row>
    <row r="151" spans="2:28" s="12" customFormat="1" x14ac:dyDescent="0.3"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</row>
    <row r="152" spans="2:28" s="12" customFormat="1" x14ac:dyDescent="0.3"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</row>
    <row r="153" spans="2:28" s="12" customFormat="1" x14ac:dyDescent="0.3"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</row>
    <row r="154" spans="2:28" s="12" customFormat="1" x14ac:dyDescent="0.3"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</row>
    <row r="155" spans="2:28" s="12" customFormat="1" x14ac:dyDescent="0.3"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</row>
    <row r="156" spans="2:28" s="12" customFormat="1" x14ac:dyDescent="0.3"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</row>
    <row r="157" spans="2:28" s="12" customFormat="1" x14ac:dyDescent="0.3"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  <c r="AA157" s="79"/>
      <c r="AB157" s="79"/>
    </row>
    <row r="158" spans="2:28" s="12" customFormat="1" x14ac:dyDescent="0.3"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</row>
    <row r="159" spans="2:28" s="12" customFormat="1" x14ac:dyDescent="0.3"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</row>
    <row r="160" spans="2:28" s="12" customFormat="1" x14ac:dyDescent="0.3"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</row>
    <row r="161" spans="2:28" s="12" customFormat="1" x14ac:dyDescent="0.3"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</row>
    <row r="162" spans="2:28" s="12" customFormat="1" x14ac:dyDescent="0.3"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  <c r="AA162" s="79"/>
      <c r="AB162" s="79"/>
    </row>
    <row r="163" spans="2:28" s="12" customFormat="1" x14ac:dyDescent="0.3"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</row>
    <row r="164" spans="2:28" s="12" customFormat="1" x14ac:dyDescent="0.3"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  <c r="AA164" s="79"/>
      <c r="AB164" s="79"/>
    </row>
    <row r="165" spans="2:28" s="12" customFormat="1" x14ac:dyDescent="0.3"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</row>
    <row r="166" spans="2:28" s="12" customFormat="1" x14ac:dyDescent="0.3"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  <c r="AA166" s="79"/>
      <c r="AB166" s="79"/>
    </row>
    <row r="167" spans="2:28" s="12" customFormat="1" x14ac:dyDescent="0.3"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</row>
    <row r="168" spans="2:28" s="12" customFormat="1" x14ac:dyDescent="0.3"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</row>
    <row r="169" spans="2:28" s="12" customFormat="1" x14ac:dyDescent="0.3"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</row>
    <row r="170" spans="2:28" s="12" customFormat="1" x14ac:dyDescent="0.3"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</row>
    <row r="171" spans="2:28" s="12" customFormat="1" x14ac:dyDescent="0.3"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</row>
    <row r="172" spans="2:28" s="12" customFormat="1" x14ac:dyDescent="0.3"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  <c r="AA172" s="79"/>
      <c r="AB172" s="79"/>
    </row>
    <row r="173" spans="2:28" s="12" customFormat="1" x14ac:dyDescent="0.3"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</row>
    <row r="174" spans="2:28" s="12" customFormat="1" x14ac:dyDescent="0.3"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</row>
    <row r="175" spans="2:28" s="12" customFormat="1" x14ac:dyDescent="0.3"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79"/>
    </row>
    <row r="176" spans="2:28" s="12" customFormat="1" x14ac:dyDescent="0.3"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</row>
    <row r="177" spans="2:28" s="12" customFormat="1" x14ac:dyDescent="0.3"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</row>
    <row r="178" spans="2:28" s="12" customFormat="1" x14ac:dyDescent="0.3"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</row>
    <row r="179" spans="2:28" s="12" customFormat="1" x14ac:dyDescent="0.3"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79"/>
    </row>
    <row r="180" spans="2:28" s="12" customFormat="1" x14ac:dyDescent="0.3"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</row>
    <row r="181" spans="2:28" s="12" customFormat="1" x14ac:dyDescent="0.3"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</row>
    <row r="182" spans="2:28" s="12" customFormat="1" x14ac:dyDescent="0.3"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</row>
    <row r="183" spans="2:28" s="12" customFormat="1" x14ac:dyDescent="0.3"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</row>
    <row r="184" spans="2:28" s="12" customFormat="1" x14ac:dyDescent="0.3"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</row>
    <row r="185" spans="2:28" s="12" customFormat="1" x14ac:dyDescent="0.3"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</row>
    <row r="186" spans="2:28" s="12" customFormat="1" x14ac:dyDescent="0.3"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79"/>
    </row>
    <row r="187" spans="2:28" s="12" customFormat="1" x14ac:dyDescent="0.3"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  <c r="AA187" s="79"/>
      <c r="AB187" s="79"/>
    </row>
    <row r="188" spans="2:28" s="12" customFormat="1" x14ac:dyDescent="0.3">
      <c r="B188" s="79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</row>
    <row r="189" spans="2:28" s="12" customFormat="1" x14ac:dyDescent="0.3"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  <c r="AA189" s="79"/>
      <c r="AB189" s="79"/>
    </row>
    <row r="190" spans="2:28" s="12" customFormat="1" x14ac:dyDescent="0.3"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  <c r="AA190" s="79"/>
      <c r="AB190" s="79"/>
    </row>
    <row r="191" spans="2:28" s="12" customFormat="1" x14ac:dyDescent="0.3"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  <c r="AA191" s="79"/>
      <c r="AB191" s="79"/>
    </row>
    <row r="192" spans="2:28" s="12" customFormat="1" x14ac:dyDescent="0.3"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</row>
    <row r="193" spans="2:28" s="12" customFormat="1" x14ac:dyDescent="0.3"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</row>
    <row r="194" spans="2:28" s="12" customFormat="1" x14ac:dyDescent="0.3"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</row>
    <row r="195" spans="2:28" s="12" customFormat="1" x14ac:dyDescent="0.3"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  <c r="AA195" s="79"/>
      <c r="AB195" s="79"/>
    </row>
    <row r="196" spans="2:28" s="12" customFormat="1" ht="20.25" customHeight="1" x14ac:dyDescent="0.3"/>
    <row r="197" spans="2:28" s="12" customFormat="1" x14ac:dyDescent="0.3">
      <c r="B197" s="79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  <c r="AA197" s="79"/>
      <c r="AB197" s="79"/>
    </row>
    <row r="198" spans="2:28" s="12" customFormat="1" x14ac:dyDescent="0.3"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</row>
    <row r="199" spans="2:28" s="12" customFormat="1" x14ac:dyDescent="0.3"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</row>
    <row r="200" spans="2:28" s="12" customFormat="1" x14ac:dyDescent="0.3"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</row>
    <row r="201" spans="2:28" s="12" customFormat="1" x14ac:dyDescent="0.3"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</row>
    <row r="202" spans="2:28" s="12" customFormat="1" x14ac:dyDescent="0.3"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</row>
    <row r="203" spans="2:28" s="12" customFormat="1" x14ac:dyDescent="0.3"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</row>
    <row r="204" spans="2:28" s="12" customFormat="1" x14ac:dyDescent="0.3"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79"/>
    </row>
    <row r="205" spans="2:28" s="12" customFormat="1" x14ac:dyDescent="0.3"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79"/>
    </row>
    <row r="206" spans="2:28" s="12" customFormat="1" x14ac:dyDescent="0.3"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79"/>
    </row>
    <row r="207" spans="2:28" s="12" customFormat="1" x14ac:dyDescent="0.3"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79"/>
    </row>
    <row r="208" spans="2:28" s="12" customFormat="1" x14ac:dyDescent="0.3"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  <c r="AA208" s="79"/>
      <c r="AB208" s="79"/>
    </row>
    <row r="209" spans="2:28" s="12" customFormat="1" x14ac:dyDescent="0.3"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</row>
    <row r="210" spans="2:28" s="12" customFormat="1" x14ac:dyDescent="0.3"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79"/>
    </row>
    <row r="211" spans="2:28" s="12" customFormat="1" x14ac:dyDescent="0.3"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</row>
    <row r="212" spans="2:28" s="12" customFormat="1" x14ac:dyDescent="0.3"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</row>
    <row r="213" spans="2:28" s="12" customFormat="1" x14ac:dyDescent="0.3"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79"/>
    </row>
    <row r="214" spans="2:28" s="12" customFormat="1" x14ac:dyDescent="0.3"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</row>
    <row r="215" spans="2:28" s="12" customFormat="1" x14ac:dyDescent="0.3"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</row>
    <row r="216" spans="2:28" s="12" customFormat="1" x14ac:dyDescent="0.3"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</row>
    <row r="217" spans="2:28" s="12" customFormat="1" x14ac:dyDescent="0.3"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</row>
    <row r="218" spans="2:28" s="12" customFormat="1" x14ac:dyDescent="0.3"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</row>
    <row r="219" spans="2:28" s="12" customFormat="1" x14ac:dyDescent="0.3"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</row>
    <row r="220" spans="2:28" s="12" customFormat="1" x14ac:dyDescent="0.3"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</row>
    <row r="221" spans="2:28" s="12" customFormat="1" x14ac:dyDescent="0.3"/>
    <row r="222" spans="2:28" s="12" customFormat="1" x14ac:dyDescent="0.3"/>
    <row r="223" spans="2:28" s="12" customFormat="1" x14ac:dyDescent="0.3"/>
    <row r="224" spans="2:28" s="12" customFormat="1" hidden="1" x14ac:dyDescent="0.3"/>
    <row r="225" s="12" customFormat="1" hidden="1" x14ac:dyDescent="0.3"/>
    <row r="226" s="12" customFormat="1" hidden="1" x14ac:dyDescent="0.3"/>
    <row r="227" s="12" customFormat="1" hidden="1" x14ac:dyDescent="0.3"/>
    <row r="228" s="12" customFormat="1" hidden="1" x14ac:dyDescent="0.3"/>
    <row r="229" s="12" customFormat="1" hidden="1" x14ac:dyDescent="0.3"/>
    <row r="230" s="12" customFormat="1" hidden="1" x14ac:dyDescent="0.3"/>
    <row r="231" s="12" customFormat="1" hidden="1" x14ac:dyDescent="0.3"/>
    <row r="232" s="12" customFormat="1" hidden="1" x14ac:dyDescent="0.3"/>
    <row r="233" s="12" customFormat="1" hidden="1" x14ac:dyDescent="0.3"/>
    <row r="234" s="12" customFormat="1" hidden="1" x14ac:dyDescent="0.3"/>
    <row r="235" s="12" customFormat="1" hidden="1" x14ac:dyDescent="0.3"/>
    <row r="236" s="12" customFormat="1" hidden="1" x14ac:dyDescent="0.3"/>
    <row r="237" s="12" customFormat="1" hidden="1" x14ac:dyDescent="0.3"/>
    <row r="238" s="12" customFormat="1" hidden="1" x14ac:dyDescent="0.3"/>
    <row r="239" s="12" customFormat="1" hidden="1" x14ac:dyDescent="0.3"/>
    <row r="240" s="12" customFormat="1" hidden="1" x14ac:dyDescent="0.3"/>
    <row r="241" s="12" customFormat="1" hidden="1" x14ac:dyDescent="0.3"/>
    <row r="242" s="12" customFormat="1" hidden="1" x14ac:dyDescent="0.3"/>
    <row r="243" s="12" customFormat="1" hidden="1" x14ac:dyDescent="0.3"/>
    <row r="244" s="12" customFormat="1" hidden="1" x14ac:dyDescent="0.3"/>
    <row r="245" s="12" customFormat="1" hidden="1" x14ac:dyDescent="0.3"/>
    <row r="246" s="12" customFormat="1" hidden="1" x14ac:dyDescent="0.3"/>
    <row r="247" s="12" customFormat="1" hidden="1" x14ac:dyDescent="0.3"/>
    <row r="248" s="12" customFormat="1" hidden="1" x14ac:dyDescent="0.3"/>
    <row r="249" s="12" customFormat="1" hidden="1" x14ac:dyDescent="0.3"/>
    <row r="250" s="12" customFormat="1" hidden="1" x14ac:dyDescent="0.3"/>
    <row r="251" s="12" customFormat="1" hidden="1" x14ac:dyDescent="0.3"/>
    <row r="252" s="12" customFormat="1" hidden="1" x14ac:dyDescent="0.3"/>
    <row r="253" s="12" customFormat="1" hidden="1" x14ac:dyDescent="0.3"/>
    <row r="254" s="12" customFormat="1" hidden="1" x14ac:dyDescent="0.3"/>
    <row r="255" s="12" customFormat="1" hidden="1" x14ac:dyDescent="0.3"/>
    <row r="256" s="12" customFormat="1" hidden="1" x14ac:dyDescent="0.3"/>
    <row r="257" s="12" customFormat="1" hidden="1" x14ac:dyDescent="0.3"/>
    <row r="258" s="12" customFormat="1" hidden="1" x14ac:dyDescent="0.3"/>
    <row r="259" s="12" customFormat="1" hidden="1" x14ac:dyDescent="0.3"/>
    <row r="260" s="12" customFormat="1" hidden="1" x14ac:dyDescent="0.3"/>
    <row r="261" s="12" customFormat="1" hidden="1" x14ac:dyDescent="0.3"/>
    <row r="262" s="12" customFormat="1" hidden="1" x14ac:dyDescent="0.3"/>
    <row r="263" s="12" customFormat="1" hidden="1" x14ac:dyDescent="0.3"/>
    <row r="264" s="12" customFormat="1" hidden="1" x14ac:dyDescent="0.3"/>
    <row r="265" s="12" customFormat="1" hidden="1" x14ac:dyDescent="0.3"/>
    <row r="266" s="12" customFormat="1" hidden="1" x14ac:dyDescent="0.3"/>
    <row r="267" s="12" customFormat="1" hidden="1" x14ac:dyDescent="0.3"/>
    <row r="268" s="12" customFormat="1" hidden="1" x14ac:dyDescent="0.3"/>
    <row r="269" s="12" customFormat="1" hidden="1" x14ac:dyDescent="0.3"/>
    <row r="270" s="12" customFormat="1" hidden="1" x14ac:dyDescent="0.3"/>
    <row r="271" s="12" customFormat="1" hidden="1" x14ac:dyDescent="0.3"/>
    <row r="272" s="12" customFormat="1" hidden="1" x14ac:dyDescent="0.3"/>
    <row r="273" s="12" customFormat="1" hidden="1" x14ac:dyDescent="0.3"/>
    <row r="274" s="12" customFormat="1" hidden="1" x14ac:dyDescent="0.3"/>
    <row r="275" s="12" customFormat="1" hidden="1" x14ac:dyDescent="0.3"/>
    <row r="276" s="12" customFormat="1" hidden="1" x14ac:dyDescent="0.3"/>
    <row r="277" s="12" customFormat="1" hidden="1" x14ac:dyDescent="0.3"/>
    <row r="278" s="12" customFormat="1" hidden="1" x14ac:dyDescent="0.3"/>
    <row r="279" s="12" customFormat="1" hidden="1" x14ac:dyDescent="0.3"/>
    <row r="280" s="12" customFormat="1" hidden="1" x14ac:dyDescent="0.3"/>
    <row r="281" s="12" customFormat="1" hidden="1" x14ac:dyDescent="0.3"/>
    <row r="282" s="12" customFormat="1" hidden="1" x14ac:dyDescent="0.3"/>
    <row r="283" s="12" customFormat="1" hidden="1" x14ac:dyDescent="0.3"/>
    <row r="284" s="12" customFormat="1" hidden="1" x14ac:dyDescent="0.3"/>
    <row r="285" s="12" customFormat="1" hidden="1" x14ac:dyDescent="0.3"/>
    <row r="286" s="12" customFormat="1" hidden="1" x14ac:dyDescent="0.3"/>
    <row r="287" s="12" customFormat="1" hidden="1" x14ac:dyDescent="0.3"/>
    <row r="288" s="12" customFormat="1" hidden="1" x14ac:dyDescent="0.3"/>
    <row r="289" s="12" customFormat="1" hidden="1" x14ac:dyDescent="0.3"/>
    <row r="290" s="12" customFormat="1" hidden="1" x14ac:dyDescent="0.3"/>
    <row r="291" s="12" customFormat="1" hidden="1" x14ac:dyDescent="0.3"/>
    <row r="292" s="12" customFormat="1" hidden="1" x14ac:dyDescent="0.3"/>
    <row r="293" s="12" customFormat="1" hidden="1" x14ac:dyDescent="0.3"/>
    <row r="294" s="12" customFormat="1" hidden="1" x14ac:dyDescent="0.3"/>
    <row r="295" s="12" customFormat="1" hidden="1" x14ac:dyDescent="0.3"/>
    <row r="296" s="12" customFormat="1" hidden="1" x14ac:dyDescent="0.3"/>
    <row r="297" s="12" customFormat="1" hidden="1" x14ac:dyDescent="0.3"/>
    <row r="298" s="12" customFormat="1" hidden="1" x14ac:dyDescent="0.3"/>
    <row r="299" s="12" customFormat="1" hidden="1" x14ac:dyDescent="0.3"/>
    <row r="300" s="12" customFormat="1" hidden="1" x14ac:dyDescent="0.3"/>
    <row r="301" s="12" customFormat="1" hidden="1" x14ac:dyDescent="0.3"/>
    <row r="302" s="12" customFormat="1" hidden="1" x14ac:dyDescent="0.3"/>
    <row r="303" s="12" customFormat="1" hidden="1" x14ac:dyDescent="0.3"/>
    <row r="304" s="12" customFormat="1" hidden="1" x14ac:dyDescent="0.3"/>
    <row r="305" s="12" customFormat="1" hidden="1" x14ac:dyDescent="0.3"/>
    <row r="306" s="12" customFormat="1" hidden="1" x14ac:dyDescent="0.3"/>
    <row r="307" s="12" customFormat="1" hidden="1" x14ac:dyDescent="0.3"/>
    <row r="308" s="12" customFormat="1" hidden="1" x14ac:dyDescent="0.3"/>
    <row r="309" s="12" customFormat="1" hidden="1" x14ac:dyDescent="0.3"/>
    <row r="310" s="12" customFormat="1" hidden="1" x14ac:dyDescent="0.3"/>
    <row r="311" s="12" customFormat="1" hidden="1" x14ac:dyDescent="0.3"/>
    <row r="312" s="12" customFormat="1" hidden="1" x14ac:dyDescent="0.3"/>
    <row r="313" s="12" customFormat="1" hidden="1" x14ac:dyDescent="0.3"/>
    <row r="314" s="12" customFormat="1" hidden="1" x14ac:dyDescent="0.3"/>
    <row r="315" s="12" customFormat="1" hidden="1" x14ac:dyDescent="0.3"/>
    <row r="316" s="12" customFormat="1" hidden="1" x14ac:dyDescent="0.3"/>
    <row r="317" s="12" customFormat="1" hidden="1" x14ac:dyDescent="0.3"/>
    <row r="318" s="12" customFormat="1" hidden="1" x14ac:dyDescent="0.3"/>
    <row r="319" s="12" customFormat="1" hidden="1" x14ac:dyDescent="0.3"/>
    <row r="320" s="12" customFormat="1" hidden="1" x14ac:dyDescent="0.3"/>
    <row r="321" s="12" customFormat="1" hidden="1" x14ac:dyDescent="0.3"/>
    <row r="322" s="12" customFormat="1" hidden="1" x14ac:dyDescent="0.3"/>
    <row r="323" s="12" customFormat="1" hidden="1" x14ac:dyDescent="0.3"/>
    <row r="324" s="12" customFormat="1" hidden="1" x14ac:dyDescent="0.3"/>
    <row r="325" s="12" customFormat="1" hidden="1" x14ac:dyDescent="0.3"/>
    <row r="326" s="12" customFormat="1" hidden="1" x14ac:dyDescent="0.3"/>
    <row r="327" s="12" customFormat="1" hidden="1" x14ac:dyDescent="0.3"/>
    <row r="328" s="12" customFormat="1" hidden="1" x14ac:dyDescent="0.3"/>
    <row r="329" s="12" customFormat="1" hidden="1" x14ac:dyDescent="0.3"/>
    <row r="330" s="12" customFormat="1" hidden="1" x14ac:dyDescent="0.3"/>
    <row r="331" s="12" customFormat="1" hidden="1" x14ac:dyDescent="0.3"/>
    <row r="332" s="12" customFormat="1" hidden="1" x14ac:dyDescent="0.3"/>
    <row r="333" s="12" customFormat="1" hidden="1" x14ac:dyDescent="0.3"/>
    <row r="334" s="12" customFormat="1" hidden="1" x14ac:dyDescent="0.3"/>
    <row r="335" s="12" customFormat="1" hidden="1" x14ac:dyDescent="0.3"/>
    <row r="336" s="12" customFormat="1" hidden="1" x14ac:dyDescent="0.3"/>
    <row r="337" s="12" customFormat="1" hidden="1" x14ac:dyDescent="0.3"/>
    <row r="338" s="12" customFormat="1" hidden="1" x14ac:dyDescent="0.3"/>
    <row r="339" s="12" customFormat="1" hidden="1" x14ac:dyDescent="0.3"/>
    <row r="340" s="12" customFormat="1" hidden="1" x14ac:dyDescent="0.3"/>
    <row r="341" s="12" customFormat="1" hidden="1" x14ac:dyDescent="0.3"/>
    <row r="342" s="12" customFormat="1" hidden="1" x14ac:dyDescent="0.3"/>
    <row r="343" s="12" customFormat="1" hidden="1" x14ac:dyDescent="0.3"/>
    <row r="344" s="12" customFormat="1" hidden="1" x14ac:dyDescent="0.3"/>
    <row r="345" s="12" customFormat="1" hidden="1" x14ac:dyDescent="0.3"/>
    <row r="346" s="12" customFormat="1" hidden="1" x14ac:dyDescent="0.3"/>
    <row r="347" s="12" customFormat="1" hidden="1" x14ac:dyDescent="0.3"/>
    <row r="348" s="12" customFormat="1" hidden="1" x14ac:dyDescent="0.3"/>
    <row r="349" s="12" customFormat="1" hidden="1" x14ac:dyDescent="0.3"/>
    <row r="350" s="12" customFormat="1" hidden="1" x14ac:dyDescent="0.3"/>
    <row r="351" s="12" customFormat="1" hidden="1" x14ac:dyDescent="0.3"/>
    <row r="352" s="12" customFormat="1" hidden="1" x14ac:dyDescent="0.3"/>
    <row r="353" s="12" customFormat="1" hidden="1" x14ac:dyDescent="0.3"/>
    <row r="354" s="12" customFormat="1" hidden="1" x14ac:dyDescent="0.3"/>
    <row r="355" s="12" customFormat="1" hidden="1" x14ac:dyDescent="0.3"/>
    <row r="356" s="12" customFormat="1" hidden="1" x14ac:dyDescent="0.3"/>
    <row r="357" s="12" customFormat="1" hidden="1" x14ac:dyDescent="0.3"/>
    <row r="358" s="12" customFormat="1" hidden="1" x14ac:dyDescent="0.3"/>
    <row r="359" s="12" customFormat="1" hidden="1" x14ac:dyDescent="0.3"/>
    <row r="360" s="12" customFormat="1" hidden="1" x14ac:dyDescent="0.3"/>
    <row r="361" s="12" customFormat="1" hidden="1" x14ac:dyDescent="0.3"/>
    <row r="362" s="12" customFormat="1" hidden="1" x14ac:dyDescent="0.3"/>
    <row r="363" s="12" customFormat="1" hidden="1" x14ac:dyDescent="0.3"/>
    <row r="364" s="12" customFormat="1" hidden="1" x14ac:dyDescent="0.3"/>
    <row r="365" s="12" customFormat="1" hidden="1" x14ac:dyDescent="0.3"/>
    <row r="366" s="12" customFormat="1" hidden="1" x14ac:dyDescent="0.3"/>
    <row r="367" s="12" customFormat="1" hidden="1" x14ac:dyDescent="0.3"/>
    <row r="368" s="12" customFormat="1" hidden="1" x14ac:dyDescent="0.3"/>
    <row r="369" s="12" customFormat="1" hidden="1" x14ac:dyDescent="0.3"/>
    <row r="370" s="12" customFormat="1" hidden="1" x14ac:dyDescent="0.3"/>
    <row r="371" s="12" customFormat="1" hidden="1" x14ac:dyDescent="0.3"/>
    <row r="372" s="12" customFormat="1" hidden="1" x14ac:dyDescent="0.3"/>
    <row r="373" s="12" customFormat="1" hidden="1" x14ac:dyDescent="0.3"/>
    <row r="374" s="12" customFormat="1" hidden="1" x14ac:dyDescent="0.3"/>
    <row r="375" s="12" customFormat="1" hidden="1" x14ac:dyDescent="0.3"/>
    <row r="376" s="12" customFormat="1" hidden="1" x14ac:dyDescent="0.3"/>
    <row r="377" s="12" customFormat="1" hidden="1" x14ac:dyDescent="0.3"/>
    <row r="378" s="12" customFormat="1" hidden="1" x14ac:dyDescent="0.3"/>
    <row r="379" s="12" customFormat="1" hidden="1" x14ac:dyDescent="0.3"/>
    <row r="380" s="12" customFormat="1" hidden="1" x14ac:dyDescent="0.3"/>
    <row r="381" s="12" customFormat="1" hidden="1" x14ac:dyDescent="0.3"/>
    <row r="382" s="12" customFormat="1" hidden="1" x14ac:dyDescent="0.3"/>
    <row r="383" s="12" customFormat="1" hidden="1" x14ac:dyDescent="0.3"/>
    <row r="384" s="12" customFormat="1" hidden="1" x14ac:dyDescent="0.3"/>
    <row r="385" s="12" customFormat="1" hidden="1" x14ac:dyDescent="0.3"/>
    <row r="386" s="12" customFormat="1" hidden="1" x14ac:dyDescent="0.3"/>
    <row r="387" s="12" customFormat="1" hidden="1" x14ac:dyDescent="0.3"/>
    <row r="388" s="12" customFormat="1" hidden="1" x14ac:dyDescent="0.3"/>
    <row r="389" s="12" customFormat="1" hidden="1" x14ac:dyDescent="0.3"/>
    <row r="390" s="12" customFormat="1" hidden="1" x14ac:dyDescent="0.3"/>
    <row r="391" s="12" customFormat="1" hidden="1" x14ac:dyDescent="0.3"/>
    <row r="392" s="12" customFormat="1" hidden="1" x14ac:dyDescent="0.3"/>
    <row r="393" s="12" customFormat="1" hidden="1" x14ac:dyDescent="0.3"/>
    <row r="394" s="12" customFormat="1" hidden="1" x14ac:dyDescent="0.3"/>
    <row r="395" s="12" customFormat="1" hidden="1" x14ac:dyDescent="0.3"/>
    <row r="396" s="12" customFormat="1" hidden="1" x14ac:dyDescent="0.3"/>
    <row r="397" s="12" customFormat="1" hidden="1" x14ac:dyDescent="0.3"/>
    <row r="398" s="12" customFormat="1" hidden="1" x14ac:dyDescent="0.3"/>
    <row r="399" s="12" customFormat="1" hidden="1" x14ac:dyDescent="0.3"/>
    <row r="400" s="12" customFormat="1" hidden="1" x14ac:dyDescent="0.3"/>
    <row r="401" s="12" customFormat="1" hidden="1" x14ac:dyDescent="0.3"/>
    <row r="402" s="12" customFormat="1" hidden="1" x14ac:dyDescent="0.3"/>
    <row r="403" s="12" customFormat="1" hidden="1" x14ac:dyDescent="0.3"/>
    <row r="404" s="12" customFormat="1" hidden="1" x14ac:dyDescent="0.3"/>
    <row r="405" s="12" customFormat="1" hidden="1" x14ac:dyDescent="0.3"/>
    <row r="406" s="12" customFormat="1" hidden="1" x14ac:dyDescent="0.3"/>
    <row r="407" s="12" customFormat="1" hidden="1" x14ac:dyDescent="0.3"/>
    <row r="408" s="12" customFormat="1" hidden="1" x14ac:dyDescent="0.3"/>
    <row r="409" s="12" customFormat="1" hidden="1" x14ac:dyDescent="0.3"/>
    <row r="410" s="12" customFormat="1" hidden="1" x14ac:dyDescent="0.3"/>
    <row r="411" s="12" customFormat="1" hidden="1" x14ac:dyDescent="0.3"/>
    <row r="412" s="12" customFormat="1" hidden="1" x14ac:dyDescent="0.3"/>
    <row r="413" s="12" customFormat="1" hidden="1" x14ac:dyDescent="0.3"/>
    <row r="414" s="12" customFormat="1" hidden="1" x14ac:dyDescent="0.3"/>
    <row r="415" s="12" customFormat="1" hidden="1" x14ac:dyDescent="0.3"/>
    <row r="416" s="12" customFormat="1" hidden="1" x14ac:dyDescent="0.3"/>
    <row r="417" s="12" customFormat="1" hidden="1" x14ac:dyDescent="0.3"/>
    <row r="418" s="12" customFormat="1" hidden="1" x14ac:dyDescent="0.3"/>
    <row r="419" s="12" customFormat="1" hidden="1" x14ac:dyDescent="0.3"/>
    <row r="420" s="12" customFormat="1" hidden="1" x14ac:dyDescent="0.3"/>
    <row r="421" s="12" customFormat="1" hidden="1" x14ac:dyDescent="0.3"/>
    <row r="422" s="12" customFormat="1" hidden="1" x14ac:dyDescent="0.3"/>
    <row r="423" s="12" customFormat="1" hidden="1" x14ac:dyDescent="0.3"/>
    <row r="424" s="12" customFormat="1" hidden="1" x14ac:dyDescent="0.3"/>
    <row r="425" s="12" customFormat="1" hidden="1" x14ac:dyDescent="0.3"/>
    <row r="426" s="12" customFormat="1" hidden="1" x14ac:dyDescent="0.3"/>
    <row r="427" s="12" customFormat="1" hidden="1" x14ac:dyDescent="0.3"/>
    <row r="428" s="12" customFormat="1" hidden="1" x14ac:dyDescent="0.3"/>
    <row r="429" s="12" customFormat="1" hidden="1" x14ac:dyDescent="0.3"/>
    <row r="430" s="12" customFormat="1" hidden="1" x14ac:dyDescent="0.3"/>
    <row r="431" s="12" customFormat="1" hidden="1" x14ac:dyDescent="0.3"/>
    <row r="432" s="12" customFormat="1" hidden="1" x14ac:dyDescent="0.3"/>
    <row r="433" s="12" customFormat="1" hidden="1" x14ac:dyDescent="0.3"/>
    <row r="434" s="12" customFormat="1" hidden="1" x14ac:dyDescent="0.3"/>
    <row r="435" s="12" customFormat="1" hidden="1" x14ac:dyDescent="0.3"/>
    <row r="436" s="12" customFormat="1" hidden="1" x14ac:dyDescent="0.3"/>
    <row r="437" s="12" customFormat="1" hidden="1" x14ac:dyDescent="0.3"/>
    <row r="438" s="12" customFormat="1" hidden="1" x14ac:dyDescent="0.3"/>
    <row r="439" s="12" customFormat="1" hidden="1" x14ac:dyDescent="0.3"/>
    <row r="440" s="12" customFormat="1" hidden="1" x14ac:dyDescent="0.3"/>
    <row r="441" s="12" customFormat="1" hidden="1" x14ac:dyDescent="0.3"/>
    <row r="442" s="12" customFormat="1" hidden="1" x14ac:dyDescent="0.3"/>
    <row r="443" s="12" customFormat="1" hidden="1" x14ac:dyDescent="0.3"/>
    <row r="444" s="12" customFormat="1" hidden="1" x14ac:dyDescent="0.3"/>
    <row r="445" s="12" customFormat="1" hidden="1" x14ac:dyDescent="0.3"/>
    <row r="446" s="12" customFormat="1" hidden="1" x14ac:dyDescent="0.3"/>
    <row r="447" s="12" customFormat="1" hidden="1" x14ac:dyDescent="0.3"/>
    <row r="448" s="12" customFormat="1" hidden="1" x14ac:dyDescent="0.3"/>
    <row r="449" s="12" customFormat="1" hidden="1" x14ac:dyDescent="0.3"/>
    <row r="450" s="12" customFormat="1" hidden="1" x14ac:dyDescent="0.3"/>
    <row r="451" s="12" customFormat="1" hidden="1" x14ac:dyDescent="0.3"/>
    <row r="452" s="12" customFormat="1" hidden="1" x14ac:dyDescent="0.3"/>
    <row r="453" s="12" customFormat="1" hidden="1" x14ac:dyDescent="0.3"/>
    <row r="454" ht="14.4" customHeight="1" x14ac:dyDescent="0.3"/>
    <row r="455" ht="14.4" customHeight="1" x14ac:dyDescent="0.3"/>
    <row r="456" ht="14.4" customHeight="1" x14ac:dyDescent="0.3"/>
  </sheetData>
  <sheetProtection algorithmName="SHA-512" hashValue="i6WZxJ9JVw+ylCIpyUiW4EPUOdm+K3kRPB+pyKMKrDqWtuL+YQbiqnU9gSObeNcdhbeU1Cx9IQmd+WwfJOcCqA==" saltValue="iToy1B500BKzPh7/qjnbVA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2"/>
  <sheetViews>
    <sheetView showGridLines="0" zoomScale="80" zoomScaleNormal="80" workbookViewId="0">
      <selection activeCell="B3" sqref="B3"/>
    </sheetView>
  </sheetViews>
  <sheetFormatPr defaultColWidth="0" defaultRowHeight="0" customHeight="1" zeroHeight="1" x14ac:dyDescent="0.3"/>
  <cols>
    <col min="1" max="1" width="4" style="33" customWidth="1"/>
    <col min="2" max="2" width="60.109375" style="33" customWidth="1"/>
    <col min="3" max="3" width="11.6640625" style="33" customWidth="1"/>
    <col min="4" max="4" width="7.6640625" style="33" customWidth="1"/>
    <col min="5" max="5" width="10" style="33" customWidth="1"/>
    <col min="6" max="7" width="12" style="33" customWidth="1"/>
    <col min="8" max="8" width="5.109375" style="123" customWidth="1"/>
    <col min="9" max="9" width="6.88671875" style="33" customWidth="1"/>
    <col min="10" max="10" width="5.109375" style="123" customWidth="1"/>
    <col min="11" max="11" width="6.88671875" style="33" customWidth="1"/>
    <col min="12" max="12" width="5.109375" style="123" customWidth="1"/>
    <col min="13" max="13" width="6.88671875" style="33" customWidth="1"/>
    <col min="14" max="14" width="5.109375" style="123" customWidth="1"/>
    <col min="15" max="15" width="6.88671875" style="33" customWidth="1"/>
    <col min="16" max="16" width="11.5546875" style="33" customWidth="1"/>
    <col min="17" max="17" width="5.109375" style="123" customWidth="1"/>
    <col min="18" max="18" width="6.88671875" style="33" customWidth="1"/>
    <col min="19" max="19" width="5.109375" style="123" customWidth="1"/>
    <col min="20" max="20" width="6.88671875" style="33" customWidth="1"/>
    <col min="21" max="21" width="5.109375" style="123" customWidth="1"/>
    <col min="22" max="22" width="6.88671875" style="33" customWidth="1"/>
    <col min="23" max="23" width="5.109375" style="123" customWidth="1"/>
    <col min="24" max="24" width="6.88671875" style="33" customWidth="1"/>
    <col min="25" max="25" width="11.5546875" style="33" customWidth="1"/>
    <col min="26" max="27" width="10.6640625" style="33" customWidth="1"/>
    <col min="28" max="28" width="9.109375" style="33" customWidth="1"/>
    <col min="29" max="30" width="0" style="33" hidden="1" customWidth="1"/>
    <col min="31" max="16384" width="9.109375" style="33" hidden="1"/>
  </cols>
  <sheetData>
    <row r="1" spans="1:28" ht="35.25" customHeight="1" x14ac:dyDescent="0.3">
      <c r="A1" s="10"/>
      <c r="B1" s="97" t="s">
        <v>101</v>
      </c>
      <c r="C1" s="84"/>
      <c r="D1" s="84"/>
      <c r="E1" s="84"/>
      <c r="F1" s="84"/>
      <c r="G1" s="84"/>
      <c r="H1" s="117"/>
      <c r="I1" s="84"/>
      <c r="J1" s="117"/>
      <c r="K1" s="84"/>
      <c r="L1" s="117"/>
      <c r="M1" s="84"/>
      <c r="N1" s="117"/>
      <c r="O1" s="84"/>
      <c r="P1" s="84"/>
      <c r="Q1" s="117"/>
      <c r="R1" s="84"/>
      <c r="S1" s="117"/>
      <c r="T1" s="84"/>
      <c r="U1" s="117"/>
      <c r="V1" s="84"/>
      <c r="W1" s="117"/>
      <c r="X1" s="84"/>
      <c r="Y1" s="84"/>
      <c r="Z1" s="84"/>
      <c r="AA1" s="84"/>
      <c r="AB1" s="84"/>
    </row>
    <row r="2" spans="1:28" s="42" customFormat="1" ht="5.0999999999999996" customHeight="1" x14ac:dyDescent="0.3">
      <c r="B2" s="124"/>
      <c r="C2" s="125"/>
      <c r="D2" s="125"/>
      <c r="E2" s="125"/>
      <c r="F2" s="125"/>
      <c r="G2" s="125"/>
      <c r="H2" s="126"/>
      <c r="I2" s="125"/>
      <c r="J2" s="126"/>
      <c r="K2" s="125"/>
      <c r="L2" s="126"/>
      <c r="M2" s="125"/>
      <c r="N2" s="126"/>
      <c r="O2" s="125"/>
      <c r="P2" s="125"/>
      <c r="Q2" s="126"/>
      <c r="R2" s="125"/>
      <c r="S2" s="126"/>
      <c r="T2" s="125"/>
      <c r="U2" s="126"/>
      <c r="V2" s="125"/>
      <c r="W2" s="126"/>
      <c r="X2" s="125"/>
      <c r="Y2" s="125"/>
      <c r="AB2" s="125"/>
    </row>
    <row r="3" spans="1:28" s="93" customFormat="1" ht="31.5" customHeight="1" x14ac:dyDescent="0.35">
      <c r="B3" s="286" t="s">
        <v>95</v>
      </c>
      <c r="C3" s="94"/>
      <c r="D3" s="94"/>
      <c r="E3" s="94"/>
      <c r="F3" s="94"/>
      <c r="H3" s="118"/>
      <c r="I3" s="94"/>
      <c r="J3" s="118"/>
      <c r="K3" s="94"/>
      <c r="L3" s="118"/>
      <c r="M3" s="95"/>
      <c r="N3" s="118"/>
      <c r="O3" s="95"/>
      <c r="P3" s="95"/>
      <c r="Q3" s="118"/>
      <c r="R3" s="95"/>
      <c r="S3" s="118"/>
      <c r="T3" s="95"/>
      <c r="U3" s="118"/>
      <c r="V3" s="95"/>
      <c r="W3" s="118"/>
      <c r="X3" s="95"/>
      <c r="Y3" s="95"/>
      <c r="Z3" s="94"/>
      <c r="AA3" s="96"/>
    </row>
    <row r="4" spans="1:28" ht="35.4" customHeight="1" thickBot="1" x14ac:dyDescent="0.5">
      <c r="B4" s="128" t="s">
        <v>202</v>
      </c>
      <c r="C4" s="13"/>
      <c r="D4" s="13"/>
      <c r="E4" s="13"/>
      <c r="F4" s="43"/>
      <c r="G4" s="13"/>
      <c r="H4" s="119"/>
      <c r="I4" s="13"/>
      <c r="J4" s="119"/>
      <c r="K4" s="13"/>
      <c r="L4" s="119"/>
      <c r="M4" s="14"/>
      <c r="N4" s="119"/>
      <c r="O4" s="14"/>
      <c r="P4" s="14"/>
      <c r="Q4" s="119"/>
      <c r="R4" s="14"/>
      <c r="S4" s="119"/>
      <c r="T4" s="14"/>
      <c r="U4" s="119"/>
      <c r="V4" s="14"/>
      <c r="W4" s="119"/>
      <c r="X4" s="14"/>
      <c r="Y4" s="14"/>
      <c r="Z4" s="13"/>
      <c r="AA4" s="15"/>
    </row>
    <row r="5" spans="1:28" ht="30.75" customHeight="1" thickTop="1" thickBot="1" x14ac:dyDescent="0.35">
      <c r="B5" s="338" t="s">
        <v>14</v>
      </c>
      <c r="C5" s="339" t="s">
        <v>18</v>
      </c>
      <c r="D5" s="339" t="s">
        <v>65</v>
      </c>
      <c r="E5" s="339" t="s">
        <v>19</v>
      </c>
      <c r="F5" s="343" t="s">
        <v>24</v>
      </c>
      <c r="G5" s="344"/>
      <c r="H5" s="343" t="s">
        <v>27</v>
      </c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3" t="s">
        <v>3</v>
      </c>
      <c r="AA5" s="344"/>
    </row>
    <row r="6" spans="1:28" ht="44.1" customHeight="1" thickTop="1" thickBot="1" x14ac:dyDescent="0.35">
      <c r="B6" s="338"/>
      <c r="C6" s="340"/>
      <c r="D6" s="340"/>
      <c r="E6" s="340"/>
      <c r="F6" s="345" t="s">
        <v>25</v>
      </c>
      <c r="G6" s="347" t="s">
        <v>26</v>
      </c>
      <c r="H6" s="343" t="s">
        <v>32</v>
      </c>
      <c r="I6" s="349"/>
      <c r="J6" s="349"/>
      <c r="K6" s="349"/>
      <c r="L6" s="349"/>
      <c r="M6" s="349"/>
      <c r="N6" s="349"/>
      <c r="O6" s="349"/>
      <c r="P6" s="349"/>
      <c r="Q6" s="343" t="s">
        <v>31</v>
      </c>
      <c r="R6" s="349"/>
      <c r="S6" s="349"/>
      <c r="T6" s="349"/>
      <c r="U6" s="349"/>
      <c r="V6" s="349"/>
      <c r="W6" s="349"/>
      <c r="X6" s="349"/>
      <c r="Y6" s="349"/>
      <c r="Z6" s="345" t="s">
        <v>9</v>
      </c>
      <c r="AA6" s="347" t="s">
        <v>17</v>
      </c>
    </row>
    <row r="7" spans="1:28" ht="49.5" customHeight="1" thickTop="1" thickBot="1" x14ac:dyDescent="0.35">
      <c r="B7" s="338"/>
      <c r="C7" s="341"/>
      <c r="D7" s="341"/>
      <c r="E7" s="341"/>
      <c r="F7" s="346"/>
      <c r="G7" s="348"/>
      <c r="H7" s="350" t="s">
        <v>117</v>
      </c>
      <c r="I7" s="351"/>
      <c r="J7" s="318" t="s">
        <v>28</v>
      </c>
      <c r="K7" s="318"/>
      <c r="L7" s="318" t="s">
        <v>29</v>
      </c>
      <c r="M7" s="318"/>
      <c r="N7" s="317" t="s">
        <v>30</v>
      </c>
      <c r="O7" s="318"/>
      <c r="P7" s="227" t="s">
        <v>118</v>
      </c>
      <c r="Q7" s="350" t="s">
        <v>117</v>
      </c>
      <c r="R7" s="351"/>
      <c r="S7" s="318" t="s">
        <v>28</v>
      </c>
      <c r="T7" s="318"/>
      <c r="U7" s="318" t="s">
        <v>29</v>
      </c>
      <c r="V7" s="318"/>
      <c r="W7" s="317" t="s">
        <v>30</v>
      </c>
      <c r="X7" s="318"/>
      <c r="Y7" s="227" t="s">
        <v>118</v>
      </c>
      <c r="Z7" s="346"/>
      <c r="AA7" s="348"/>
    </row>
    <row r="8" spans="1:28" s="8" customFormat="1" ht="21.75" customHeight="1" thickTop="1" thickBot="1" x14ac:dyDescent="0.35">
      <c r="B8" s="25" t="str">
        <f>INDEX(Q2_Adult,14,2)</f>
        <v>Bristol, Bristol Heart Institute</v>
      </c>
      <c r="C8" s="25" t="s">
        <v>20</v>
      </c>
      <c r="D8" s="57">
        <v>1</v>
      </c>
      <c r="E8" s="25" t="s">
        <v>21</v>
      </c>
      <c r="F8" s="65">
        <f>INDEX(Q2_Adult,14,7)</f>
        <v>34</v>
      </c>
      <c r="G8" s="71">
        <f>INDEX(Q2_Adult,14,8)</f>
        <v>0</v>
      </c>
      <c r="H8" s="213">
        <f>INDEX(Q2_Adult,14,9)</f>
        <v>471</v>
      </c>
      <c r="I8" s="203">
        <f>IFERROR(H8/P8,0)</f>
        <v>0.50374331550802143</v>
      </c>
      <c r="J8" s="204">
        <f>INDEX(Q2_Adult,14,10)</f>
        <v>334</v>
      </c>
      <c r="K8" s="203">
        <f>IFERROR(J8/P8,0)</f>
        <v>0.35721925133689841</v>
      </c>
      <c r="L8" s="204">
        <f>INDEX(Q2_Adult,14,11)</f>
        <v>115</v>
      </c>
      <c r="M8" s="203">
        <f>IFERROR(L8/P8,0)</f>
        <v>0.12299465240641712</v>
      </c>
      <c r="N8" s="204">
        <f>INDEX(Q2_Adult,14,12)</f>
        <v>15</v>
      </c>
      <c r="O8" s="203">
        <f>IFERROR(N8/P8,0)</f>
        <v>1.6042780748663103E-2</v>
      </c>
      <c r="P8" s="205">
        <f>INDEX(Q2_Adult,14,13)</f>
        <v>935</v>
      </c>
      <c r="Q8" s="202">
        <f>INDEX(Q2_Adult,14,15)</f>
        <v>0</v>
      </c>
      <c r="R8" s="203">
        <f>IFERROR(Q8/Y8,0)</f>
        <v>0</v>
      </c>
      <c r="S8" s="204">
        <f>INDEX(Q2_Adult,14,16)</f>
        <v>0</v>
      </c>
      <c r="T8" s="203">
        <f>IFERROR(S8/Y8,0)</f>
        <v>0</v>
      </c>
      <c r="U8" s="206">
        <f>INDEX(Q2_Adult,14,17)</f>
        <v>0</v>
      </c>
      <c r="V8" s="203">
        <f>IFERROR(U8/Y8,0)</f>
        <v>0</v>
      </c>
      <c r="W8" s="204">
        <f>INDEX(Q2_Adult,14,18)</f>
        <v>0</v>
      </c>
      <c r="X8" s="203">
        <f>IFERROR(W8/Y8,0)</f>
        <v>0</v>
      </c>
      <c r="Y8" s="114">
        <f>INDEX(Q2_Adult,14,19)</f>
        <v>0</v>
      </c>
      <c r="Z8" s="67">
        <f>INDEX(Q2_Adult,14,21)</f>
        <v>0.23100000000000001</v>
      </c>
      <c r="AA8" s="68">
        <f>INDEX(Q2_Adult,14,22)</f>
        <v>0</v>
      </c>
    </row>
    <row r="9" spans="1:28" s="8" customFormat="1" ht="21.75" customHeight="1" thickTop="1" thickBot="1" x14ac:dyDescent="0.35">
      <c r="B9" s="26" t="str">
        <f>INDEX(Q2_Adult,6,2)</f>
        <v>University Hospital Wales</v>
      </c>
      <c r="C9" s="26" t="s">
        <v>20</v>
      </c>
      <c r="D9" s="58">
        <v>2</v>
      </c>
      <c r="E9" s="26" t="s">
        <v>22</v>
      </c>
      <c r="F9" s="66">
        <f>INDEX(Q2_Adult,6,7)</f>
        <v>24</v>
      </c>
      <c r="G9" s="72">
        <f>INDEX(Q2_Adult,6,8)</f>
        <v>0</v>
      </c>
      <c r="H9" s="207">
        <f>INDEX(Q2_Adult,6,9)</f>
        <v>13</v>
      </c>
      <c r="I9" s="208">
        <f>IFERROR(H9/P9,0)</f>
        <v>0.17808219178082191</v>
      </c>
      <c r="J9" s="209">
        <f>INDEX(Q2_Adult,6,10)</f>
        <v>3</v>
      </c>
      <c r="K9" s="208">
        <f>IFERROR(J9/P9,0)</f>
        <v>4.1095890410958902E-2</v>
      </c>
      <c r="L9" s="209">
        <f>INDEX(Q2_Adult,6,11)</f>
        <v>37</v>
      </c>
      <c r="M9" s="208">
        <f>IFERROR(L9/P9,0)</f>
        <v>0.50684931506849318</v>
      </c>
      <c r="N9" s="209">
        <f>INDEX(Q2_Adult,6,12)</f>
        <v>20</v>
      </c>
      <c r="O9" s="208">
        <f>IFERROR(N9/P9,0)</f>
        <v>0.27397260273972601</v>
      </c>
      <c r="P9" s="210">
        <f>INDEX(Q2_Adult,6,13)</f>
        <v>73</v>
      </c>
      <c r="Q9" s="211">
        <f>INDEX(Q2_Adult,6,15)</f>
        <v>0</v>
      </c>
      <c r="R9" s="208">
        <f>IFERROR(Q9/Y9,0)</f>
        <v>0</v>
      </c>
      <c r="S9" s="209">
        <f>INDEX(Q2_Adult,6,16)</f>
        <v>0</v>
      </c>
      <c r="T9" s="208">
        <f>IFERROR(S9/Y9,0)</f>
        <v>0</v>
      </c>
      <c r="U9" s="212">
        <f>INDEX(Q2_Adult,6,17)</f>
        <v>0</v>
      </c>
      <c r="V9" s="208">
        <f>IFERROR(U9/Y9,0)</f>
        <v>0</v>
      </c>
      <c r="W9" s="209">
        <f>INDEX(Q2_Adult,6,18)</f>
        <v>0</v>
      </c>
      <c r="X9" s="208">
        <f>IFERROR(W9/Y9,0)</f>
        <v>0</v>
      </c>
      <c r="Y9" s="115">
        <f>INDEX(Q2_Adult,6,19)</f>
        <v>0</v>
      </c>
      <c r="Z9" s="69">
        <f>INDEX(Q2_Adult,6,21)</f>
        <v>0.15</v>
      </c>
      <c r="AA9" s="70">
        <f>INDEX(Q2_Adult,6,22)</f>
        <v>0</v>
      </c>
    </row>
    <row r="10" spans="1:28" s="83" customFormat="1" ht="21.75" customHeight="1" thickTop="1" thickBot="1" x14ac:dyDescent="0.35">
      <c r="B10" s="25" t="str">
        <f>INDEX(Q2_Adult,5,2)</f>
        <v>Aneurin Bevan UHB, Nevill Hall &amp; Royal Gwent Hospitals</v>
      </c>
      <c r="C10" s="25" t="s">
        <v>20</v>
      </c>
      <c r="D10" s="57">
        <v>3</v>
      </c>
      <c r="E10" s="25" t="s">
        <v>22</v>
      </c>
      <c r="F10" s="65">
        <f>INDEX(Q2_Adult,5,7)</f>
        <v>0</v>
      </c>
      <c r="G10" s="71">
        <f>INDEX(Q2_Adult,5,8)</f>
        <v>0</v>
      </c>
      <c r="H10" s="213">
        <f>INDEX(Q2_Adult,5,9)</f>
        <v>0</v>
      </c>
      <c r="I10" s="203">
        <f>IFERROR(H10/P10,0)</f>
        <v>0</v>
      </c>
      <c r="J10" s="204">
        <f>INDEX(Q2_Adult,5,10)</f>
        <v>0</v>
      </c>
      <c r="K10" s="203">
        <f>IFERROR(J10/P10,0)</f>
        <v>0</v>
      </c>
      <c r="L10" s="204">
        <f>INDEX(Q2_Adult,5,11)</f>
        <v>0</v>
      </c>
      <c r="M10" s="203">
        <f>IFERROR(L10/P10,0)</f>
        <v>0</v>
      </c>
      <c r="N10" s="204">
        <f>INDEX(Q2_Adult,5,12)</f>
        <v>0</v>
      </c>
      <c r="O10" s="203">
        <f>IFERROR(N10/P10,0)</f>
        <v>0</v>
      </c>
      <c r="P10" s="205">
        <f>INDEX(Q2_Adult,5,13)</f>
        <v>0</v>
      </c>
      <c r="Q10" s="202">
        <f>INDEX(Q2_Adult,5,15)</f>
        <v>20</v>
      </c>
      <c r="R10" s="203">
        <f>IFERROR(Q10/Y10,0)</f>
        <v>8.6206896551724144E-2</v>
      </c>
      <c r="S10" s="204">
        <f>INDEX(Q2_Adult,5,16)</f>
        <v>27</v>
      </c>
      <c r="T10" s="203">
        <f>IFERROR(S10/Y10,0)</f>
        <v>0.11637931034482758</v>
      </c>
      <c r="U10" s="206">
        <f>INDEX(Q2_Adult,5,17)</f>
        <v>77</v>
      </c>
      <c r="V10" s="203">
        <f>IFERROR(U10/Y10,0)</f>
        <v>0.33189655172413796</v>
      </c>
      <c r="W10" s="204">
        <f>INDEX(Q2_Adult,5,18)</f>
        <v>108</v>
      </c>
      <c r="X10" s="203">
        <f>IFERROR(W10/Y10,0)</f>
        <v>0.46551724137931033</v>
      </c>
      <c r="Y10" s="114">
        <f>INDEX(Q2_Adult,5,19)</f>
        <v>232</v>
      </c>
      <c r="Z10" s="67">
        <f>INDEX(Q2_Adult,5,21)</f>
        <v>0</v>
      </c>
      <c r="AA10" s="68">
        <f>INDEX(Q2_Adult,5,22)</f>
        <v>0</v>
      </c>
    </row>
    <row r="11" spans="1:28" s="8" customFormat="1" ht="21.75" customHeight="1" thickTop="1" thickBot="1" x14ac:dyDescent="0.35">
      <c r="B11" s="26" t="str">
        <f>INDEX(Q2_Adult,7,2)</f>
        <v>Cwm Taf Morgannwg UHB, Princess of Wales Hospital</v>
      </c>
      <c r="C11" s="26" t="s">
        <v>20</v>
      </c>
      <c r="D11" s="58">
        <v>3</v>
      </c>
      <c r="E11" s="26" t="s">
        <v>22</v>
      </c>
      <c r="F11" s="66">
        <f>INDEX(Q2_Adult,7,7)</f>
        <v>0</v>
      </c>
      <c r="G11" s="72">
        <f>INDEX(Q2_Adult,7,8)</f>
        <v>0</v>
      </c>
      <c r="H11" s="207">
        <f>INDEX(Q2_Adult,7,9)</f>
        <v>0</v>
      </c>
      <c r="I11" s="208">
        <f t="shared" ref="I11:I24" si="0">IFERROR(H11/P11,0)</f>
        <v>0</v>
      </c>
      <c r="J11" s="209">
        <f>INDEX(Q2_Adult,7,10)</f>
        <v>0</v>
      </c>
      <c r="K11" s="208">
        <f t="shared" ref="K11:K24" si="1">IFERROR(J11/P11,0)</f>
        <v>0</v>
      </c>
      <c r="L11" s="209">
        <f>INDEX(Q2_Adult,7,11)</f>
        <v>0</v>
      </c>
      <c r="M11" s="208">
        <f t="shared" ref="M11:M24" si="2">IFERROR(L11/P11,0)</f>
        <v>0</v>
      </c>
      <c r="N11" s="209">
        <f>INDEX(Q2_Adult,7,12)</f>
        <v>0</v>
      </c>
      <c r="O11" s="208">
        <f t="shared" ref="O11:O24" si="3">IFERROR(N11/P11,0)</f>
        <v>0</v>
      </c>
      <c r="P11" s="210">
        <f>INDEX(Q2_Adult,7,13)</f>
        <v>0</v>
      </c>
      <c r="Q11" s="211">
        <f>INDEX(Q2_Adult,7,15)</f>
        <v>34</v>
      </c>
      <c r="R11" s="208">
        <f t="shared" ref="R11:R24" si="4">IFERROR(Q11/Y11,0)</f>
        <v>0.13178294573643412</v>
      </c>
      <c r="S11" s="209">
        <f>INDEX(Q2_Adult,7,16)</f>
        <v>36</v>
      </c>
      <c r="T11" s="208">
        <f t="shared" ref="T11:T24" si="5">IFERROR(S11/Y11,0)</f>
        <v>0.13953488372093023</v>
      </c>
      <c r="U11" s="212">
        <f>INDEX(Q2_Adult,7,17)</f>
        <v>22</v>
      </c>
      <c r="V11" s="208">
        <f t="shared" ref="V11:V24" si="6">IFERROR(U11/Y11,0)</f>
        <v>8.5271317829457363E-2</v>
      </c>
      <c r="W11" s="209">
        <f>INDEX(Q2_Adult,7,18)</f>
        <v>166</v>
      </c>
      <c r="X11" s="208">
        <f t="shared" ref="X11:X24" si="7">IFERROR(W11/Y11,0)</f>
        <v>0.64341085271317833</v>
      </c>
      <c r="Y11" s="115">
        <f>INDEX(Q2_Adult,7,19)</f>
        <v>258</v>
      </c>
      <c r="Z11" s="69">
        <f>INDEX(Q2_Adult,7,21)</f>
        <v>0</v>
      </c>
      <c r="AA11" s="70">
        <f>INDEX(Q2_Adult,7,22)</f>
        <v>0</v>
      </c>
    </row>
    <row r="12" spans="1:28" s="8" customFormat="1" ht="21.75" customHeight="1" thickTop="1" thickBot="1" x14ac:dyDescent="0.35">
      <c r="B12" s="25" t="str">
        <f>INDEX(Q2_Adult,8,2)</f>
        <v xml:space="preserve">Cwm Taf Morgannwg UHB, Royal Glamorgan Hospital </v>
      </c>
      <c r="C12" s="25" t="s">
        <v>20</v>
      </c>
      <c r="D12" s="57">
        <v>3</v>
      </c>
      <c r="E12" s="25" t="s">
        <v>22</v>
      </c>
      <c r="F12" s="65">
        <f>INDEX(Q2_Adult,8,7)</f>
        <v>0</v>
      </c>
      <c r="G12" s="71">
        <f>INDEX(Q2_Adult,8,8)</f>
        <v>0</v>
      </c>
      <c r="H12" s="213">
        <f>INDEX(Q2_Adult,8,9)</f>
        <v>0</v>
      </c>
      <c r="I12" s="203">
        <f t="shared" si="0"/>
        <v>0</v>
      </c>
      <c r="J12" s="204">
        <f>INDEX(Q2_Adult,8,10)</f>
        <v>0</v>
      </c>
      <c r="K12" s="203">
        <f t="shared" si="1"/>
        <v>0</v>
      </c>
      <c r="L12" s="204">
        <f>INDEX(Q2_Adult,8,11)</f>
        <v>0</v>
      </c>
      <c r="M12" s="203">
        <f t="shared" si="2"/>
        <v>0</v>
      </c>
      <c r="N12" s="204">
        <f>INDEX(Q2_Adult,8,12)</f>
        <v>0</v>
      </c>
      <c r="O12" s="203">
        <f t="shared" si="3"/>
        <v>0</v>
      </c>
      <c r="P12" s="205">
        <f>INDEX(Q2_Adult,8,13)</f>
        <v>0</v>
      </c>
      <c r="Q12" s="202">
        <f>INDEX(Q2_Adult,8,15)</f>
        <v>0</v>
      </c>
      <c r="R12" s="203">
        <f t="shared" si="4"/>
        <v>0</v>
      </c>
      <c r="S12" s="204">
        <f>INDEX(Q2_Adult,8,16)</f>
        <v>0</v>
      </c>
      <c r="T12" s="203">
        <f t="shared" si="5"/>
        <v>0</v>
      </c>
      <c r="U12" s="206">
        <f>INDEX(Q2_Adult,8,17)</f>
        <v>0</v>
      </c>
      <c r="V12" s="203">
        <f t="shared" si="6"/>
        <v>0</v>
      </c>
      <c r="W12" s="204">
        <f>INDEX(Q2_Adult,8,18)</f>
        <v>0</v>
      </c>
      <c r="X12" s="203">
        <f t="shared" si="7"/>
        <v>0</v>
      </c>
      <c r="Y12" s="114">
        <f>INDEX(Q2_Adult,8,19)</f>
        <v>0</v>
      </c>
      <c r="Z12" s="67">
        <f>INDEX(Q2_Adult,8,21)</f>
        <v>0.13</v>
      </c>
      <c r="AA12" s="68">
        <f>INDEX(Q2_Adult,8,22)</f>
        <v>0</v>
      </c>
    </row>
    <row r="13" spans="1:28" s="8" customFormat="1" ht="21.75" customHeight="1" thickTop="1" thickBot="1" x14ac:dyDescent="0.35">
      <c r="B13" s="26" t="str">
        <f>INDEX(Q2_Adult,9,2)</f>
        <v>Cwm Taf Morgannwg UHB, Prince Charles Hospital</v>
      </c>
      <c r="C13" s="26" t="s">
        <v>20</v>
      </c>
      <c r="D13" s="58">
        <v>3</v>
      </c>
      <c r="E13" s="26" t="s">
        <v>22</v>
      </c>
      <c r="F13" s="66">
        <f>INDEX(Q2_Adult,9,7)</f>
        <v>0</v>
      </c>
      <c r="G13" s="72">
        <f>INDEX(Q2_Adult,9,8)</f>
        <v>0</v>
      </c>
      <c r="H13" s="207">
        <f>INDEX(Q2_Adult,9,9)</f>
        <v>0</v>
      </c>
      <c r="I13" s="208">
        <f t="shared" si="0"/>
        <v>0</v>
      </c>
      <c r="J13" s="209">
        <f>INDEX(Q2_Adult,9,10)</f>
        <v>0</v>
      </c>
      <c r="K13" s="208">
        <f t="shared" si="1"/>
        <v>0</v>
      </c>
      <c r="L13" s="209">
        <f>INDEX(Q2_Adult,9,11)</f>
        <v>0</v>
      </c>
      <c r="M13" s="208">
        <f t="shared" si="2"/>
        <v>0</v>
      </c>
      <c r="N13" s="209">
        <f>INDEX(Q2_Adult,9,12)</f>
        <v>0</v>
      </c>
      <c r="O13" s="208">
        <f t="shared" si="3"/>
        <v>0</v>
      </c>
      <c r="P13" s="210">
        <f>INDEX(Q2_Adult,9,13)</f>
        <v>0</v>
      </c>
      <c r="Q13" s="211">
        <f>INDEX(Q2_Adult,9,15)</f>
        <v>0</v>
      </c>
      <c r="R13" s="208">
        <f t="shared" si="4"/>
        <v>0</v>
      </c>
      <c r="S13" s="209">
        <f>INDEX(Q2_Adult,9,16)</f>
        <v>0</v>
      </c>
      <c r="T13" s="208">
        <f t="shared" si="5"/>
        <v>0</v>
      </c>
      <c r="U13" s="212">
        <f>INDEX(Q2_Adult,9,17)</f>
        <v>0</v>
      </c>
      <c r="V13" s="208">
        <f t="shared" si="6"/>
        <v>0</v>
      </c>
      <c r="W13" s="209">
        <f>INDEX(Q2_Adult,9,18)</f>
        <v>0</v>
      </c>
      <c r="X13" s="208">
        <f t="shared" si="7"/>
        <v>0</v>
      </c>
      <c r="Y13" s="115">
        <f>INDEX(Q2_Adult,9,19)</f>
        <v>0</v>
      </c>
      <c r="Z13" s="69">
        <f>INDEX(Q2_Adult,9,21)</f>
        <v>0</v>
      </c>
      <c r="AA13" s="70">
        <f>INDEX(Q2_Adult,9,22)</f>
        <v>0</v>
      </c>
    </row>
    <row r="14" spans="1:28" s="8" customFormat="1" ht="21.75" customHeight="1" thickTop="1" thickBot="1" x14ac:dyDescent="0.35">
      <c r="B14" s="25" t="str">
        <f>INDEX(Q2_Adult,10,2)</f>
        <v>Hywel Dda UHB, Glangwilli Hospital</v>
      </c>
      <c r="C14" s="25" t="s">
        <v>20</v>
      </c>
      <c r="D14" s="57">
        <v>3</v>
      </c>
      <c r="E14" s="25" t="s">
        <v>22</v>
      </c>
      <c r="F14" s="65" t="str">
        <f>INDEX(Q2_Adult,10,7)</f>
        <v>No data</v>
      </c>
      <c r="G14" s="71" t="str">
        <f>INDEX(Q2_Adult,10,8)</f>
        <v>No data</v>
      </c>
      <c r="H14" s="213" t="str">
        <f>INDEX(Q2_Adult,10,9)</f>
        <v>No data</v>
      </c>
      <c r="I14" s="203">
        <f t="shared" si="0"/>
        <v>0</v>
      </c>
      <c r="J14" s="204" t="str">
        <f>INDEX(Q2_Adult,10,10)</f>
        <v>No data</v>
      </c>
      <c r="K14" s="203">
        <f t="shared" si="1"/>
        <v>0</v>
      </c>
      <c r="L14" s="204" t="str">
        <f>INDEX(Q2_Adult,10,11)</f>
        <v>No data</v>
      </c>
      <c r="M14" s="203">
        <f t="shared" si="2"/>
        <v>0</v>
      </c>
      <c r="N14" s="204" t="str">
        <f>INDEX(Q2_Adult,10,12)</f>
        <v>No data</v>
      </c>
      <c r="O14" s="203">
        <f t="shared" si="3"/>
        <v>0</v>
      </c>
      <c r="P14" s="205" t="str">
        <f>INDEX(Q2_Adult,10,13)</f>
        <v>No data</v>
      </c>
      <c r="Q14" s="202" t="str">
        <f>INDEX(Q2_Adult,10,15)</f>
        <v>No data</v>
      </c>
      <c r="R14" s="203">
        <f t="shared" si="4"/>
        <v>0</v>
      </c>
      <c r="S14" s="204" t="str">
        <f>INDEX(Q2_Adult,10,16)</f>
        <v>No data</v>
      </c>
      <c r="T14" s="203">
        <f t="shared" si="5"/>
        <v>0</v>
      </c>
      <c r="U14" s="206" t="str">
        <f>INDEX(Q2_Adult,10,17)</f>
        <v>No data</v>
      </c>
      <c r="V14" s="203">
        <f t="shared" si="6"/>
        <v>0</v>
      </c>
      <c r="W14" s="204" t="str">
        <f>INDEX(Q2_Adult,10,18)</f>
        <v>No data</v>
      </c>
      <c r="X14" s="203">
        <f t="shared" si="7"/>
        <v>0</v>
      </c>
      <c r="Y14" s="114" t="str">
        <f>INDEX(Q2_Adult,10,19)</f>
        <v>No data</v>
      </c>
      <c r="Z14" s="67" t="str">
        <f>INDEX(Q2_Adult,10,21)</f>
        <v>No data</v>
      </c>
      <c r="AA14" s="68" t="str">
        <f>INDEX(Q2_Adult,10,22)</f>
        <v>No data</v>
      </c>
    </row>
    <row r="15" spans="1:28" s="8" customFormat="1" ht="21.75" customHeight="1" thickTop="1" thickBot="1" x14ac:dyDescent="0.35">
      <c r="B15" s="26" t="str">
        <f>INDEX(Q2_Adult,11,2)</f>
        <v>Hywel Dda UHB, Withybush Hospital</v>
      </c>
      <c r="C15" s="26" t="s">
        <v>20</v>
      </c>
      <c r="D15" s="58">
        <v>3</v>
      </c>
      <c r="E15" s="26" t="s">
        <v>22</v>
      </c>
      <c r="F15" s="66">
        <f>INDEX(Q2_Adult,11,7)</f>
        <v>0</v>
      </c>
      <c r="G15" s="72">
        <f>INDEX(Q2_Adult,11,8)</f>
        <v>0</v>
      </c>
      <c r="H15" s="207">
        <f>INDEX(Q2_Adult,11,9)</f>
        <v>4</v>
      </c>
      <c r="I15" s="208">
        <f t="shared" si="0"/>
        <v>0.44444444444444442</v>
      </c>
      <c r="J15" s="209">
        <f>INDEX(Q2_Adult,11,10)</f>
        <v>2</v>
      </c>
      <c r="K15" s="208">
        <f t="shared" si="1"/>
        <v>0.22222222222222221</v>
      </c>
      <c r="L15" s="209">
        <f>INDEX(Q2_Adult,11,11)</f>
        <v>0</v>
      </c>
      <c r="M15" s="208">
        <f t="shared" si="2"/>
        <v>0</v>
      </c>
      <c r="N15" s="209">
        <f>INDEX(Q2_Adult,11,12)</f>
        <v>3</v>
      </c>
      <c r="O15" s="208">
        <f t="shared" si="3"/>
        <v>0.33333333333333331</v>
      </c>
      <c r="P15" s="210">
        <f>INDEX(Q2_Adult,11,13)</f>
        <v>9</v>
      </c>
      <c r="Q15" s="211">
        <f>INDEX(Q2_Adult,11,15)</f>
        <v>0</v>
      </c>
      <c r="R15" s="208">
        <f t="shared" si="4"/>
        <v>0</v>
      </c>
      <c r="S15" s="209">
        <f>INDEX(Q2_Adult,11,16)</f>
        <v>0</v>
      </c>
      <c r="T15" s="208">
        <f t="shared" si="5"/>
        <v>0</v>
      </c>
      <c r="U15" s="212">
        <f>INDEX(Q2_Adult,11,17)</f>
        <v>0</v>
      </c>
      <c r="V15" s="208">
        <f t="shared" si="6"/>
        <v>0</v>
      </c>
      <c r="W15" s="209">
        <f>INDEX(Q2_Adult,11,18)</f>
        <v>0</v>
      </c>
      <c r="X15" s="208">
        <f t="shared" si="7"/>
        <v>0</v>
      </c>
      <c r="Y15" s="115">
        <f>INDEX(Q2_Adult,11,19)</f>
        <v>0</v>
      </c>
      <c r="Z15" s="69">
        <f>INDEX(Q2_Adult,11,21)</f>
        <v>0</v>
      </c>
      <c r="AA15" s="70">
        <f>INDEX(Q2_Adult,11,22)</f>
        <v>0</v>
      </c>
    </row>
    <row r="16" spans="1:28" s="8" customFormat="1" ht="21.75" customHeight="1" thickTop="1" thickBot="1" x14ac:dyDescent="0.35">
      <c r="B16" s="25" t="str">
        <f>INDEX(Q2_Adult,12,2)</f>
        <v>Swansea Bay UHB, Morriston / Singleton Hospitals</v>
      </c>
      <c r="C16" s="25" t="s">
        <v>20</v>
      </c>
      <c r="D16" s="57">
        <v>3</v>
      </c>
      <c r="E16" s="25" t="s">
        <v>22</v>
      </c>
      <c r="F16" s="65">
        <f>INDEX(Q2_Adult,12,7)</f>
        <v>3</v>
      </c>
      <c r="G16" s="71">
        <f>INDEX(Q2_Adult,12,8)</f>
        <v>0</v>
      </c>
      <c r="H16" s="213">
        <f>INDEX(Q2_Adult,12,9)</f>
        <v>26</v>
      </c>
      <c r="I16" s="203">
        <f t="shared" si="0"/>
        <v>0.19548872180451127</v>
      </c>
      <c r="J16" s="204">
        <f>INDEX(Q2_Adult,12,10)</f>
        <v>23</v>
      </c>
      <c r="K16" s="203">
        <f t="shared" si="1"/>
        <v>0.17293233082706766</v>
      </c>
      <c r="L16" s="204">
        <f>INDEX(Q2_Adult,12,11)</f>
        <v>29</v>
      </c>
      <c r="M16" s="203">
        <f t="shared" si="2"/>
        <v>0.21804511278195488</v>
      </c>
      <c r="N16" s="204">
        <f>INDEX(Q2_Adult,12,12)</f>
        <v>55</v>
      </c>
      <c r="O16" s="203">
        <f t="shared" si="3"/>
        <v>0.41353383458646614</v>
      </c>
      <c r="P16" s="205">
        <f>INDEX(Q2_Adult,12,13)</f>
        <v>133</v>
      </c>
      <c r="Q16" s="202">
        <f>INDEX(Q2_Adult,12,15)</f>
        <v>0</v>
      </c>
      <c r="R16" s="203">
        <f t="shared" si="4"/>
        <v>0</v>
      </c>
      <c r="S16" s="204">
        <f>INDEX(Q2_Adult,12,16)</f>
        <v>0</v>
      </c>
      <c r="T16" s="203">
        <f t="shared" si="5"/>
        <v>0</v>
      </c>
      <c r="U16" s="206">
        <f>INDEX(Q2_Adult,12,17)</f>
        <v>0</v>
      </c>
      <c r="V16" s="203">
        <f t="shared" si="6"/>
        <v>0</v>
      </c>
      <c r="W16" s="204">
        <f>INDEX(Q2_Adult,12,18)</f>
        <v>0</v>
      </c>
      <c r="X16" s="203">
        <f t="shared" si="7"/>
        <v>0</v>
      </c>
      <c r="Y16" s="114">
        <f>INDEX(Q2_Adult,12,19)</f>
        <v>0</v>
      </c>
      <c r="Z16" s="67">
        <f>INDEX(Q2_Adult,12,21)</f>
        <v>0</v>
      </c>
      <c r="AA16" s="68">
        <f>INDEX(Q2_Adult,12,22)</f>
        <v>0</v>
      </c>
    </row>
    <row r="17" spans="2:27" s="8" customFormat="1" ht="21.75" customHeight="1" thickTop="1" thickBot="1" x14ac:dyDescent="0.35">
      <c r="B17" s="26" t="str">
        <f>INDEX(Q2_Adult,13,2)</f>
        <v xml:space="preserve">Barnstaple, North Devon District Hospital </v>
      </c>
      <c r="C17" s="26" t="s">
        <v>20</v>
      </c>
      <c r="D17" s="58">
        <v>3</v>
      </c>
      <c r="E17" s="26" t="s">
        <v>21</v>
      </c>
      <c r="F17" s="66">
        <f>INDEX(Q2_Adult,13,7)</f>
        <v>32</v>
      </c>
      <c r="G17" s="72">
        <f>INDEX(Q2_Adult,13,8)</f>
        <v>32</v>
      </c>
      <c r="H17" s="207">
        <f>INDEX(Q2_Adult,13,9)</f>
        <v>6</v>
      </c>
      <c r="I17" s="208">
        <f t="shared" si="0"/>
        <v>8.5714285714285715E-2</v>
      </c>
      <c r="J17" s="209">
        <f>INDEX(Q2_Adult,13,10)</f>
        <v>18</v>
      </c>
      <c r="K17" s="208">
        <f t="shared" si="1"/>
        <v>0.25714285714285712</v>
      </c>
      <c r="L17" s="209">
        <f>INDEX(Q2_Adult,13,11)</f>
        <v>38</v>
      </c>
      <c r="M17" s="208">
        <f t="shared" si="2"/>
        <v>0.54285714285714282</v>
      </c>
      <c r="N17" s="209">
        <f>INDEX(Q2_Adult,13,12)</f>
        <v>8</v>
      </c>
      <c r="O17" s="208">
        <f t="shared" si="3"/>
        <v>0.11428571428571428</v>
      </c>
      <c r="P17" s="210">
        <f>INDEX(Q2_Adult,13,13)</f>
        <v>70</v>
      </c>
      <c r="Q17" s="211">
        <f>INDEX(Q2_Adult,13,15)</f>
        <v>6</v>
      </c>
      <c r="R17" s="208">
        <f t="shared" si="4"/>
        <v>8.5714285714285715E-2</v>
      </c>
      <c r="S17" s="209">
        <f>INDEX(Q2_Adult,13,16)</f>
        <v>18</v>
      </c>
      <c r="T17" s="208">
        <f t="shared" si="5"/>
        <v>0.25714285714285712</v>
      </c>
      <c r="U17" s="212">
        <f>INDEX(Q2_Adult,13,17)</f>
        <v>38</v>
      </c>
      <c r="V17" s="208">
        <f t="shared" si="6"/>
        <v>0.54285714285714282</v>
      </c>
      <c r="W17" s="209">
        <f>INDEX(Q2_Adult,13,18)</f>
        <v>8</v>
      </c>
      <c r="X17" s="208">
        <f t="shared" si="7"/>
        <v>0.11428571428571428</v>
      </c>
      <c r="Y17" s="115">
        <f>INDEX(Q2_Adult,13,19)</f>
        <v>70</v>
      </c>
      <c r="Z17" s="69">
        <f>INDEX(Q2_Adult,13,21)</f>
        <v>0</v>
      </c>
      <c r="AA17" s="70">
        <f>INDEX(Q2_Adult,13,22)</f>
        <v>0</v>
      </c>
    </row>
    <row r="18" spans="2:27" s="8" customFormat="1" ht="21.75" customHeight="1" thickTop="1" thickBot="1" x14ac:dyDescent="0.35">
      <c r="B18" s="25" t="str">
        <f>INDEX(Q2_Adult,15,2)</f>
        <v xml:space="preserve">Exeter, Royal Devon and Exeter Hospital </v>
      </c>
      <c r="C18" s="25" t="s">
        <v>20</v>
      </c>
      <c r="D18" s="57">
        <v>3</v>
      </c>
      <c r="E18" s="25" t="s">
        <v>21</v>
      </c>
      <c r="F18" s="65" t="str">
        <f>INDEX(Q2_Adult,15,7)</f>
        <v>No data</v>
      </c>
      <c r="G18" s="71" t="str">
        <f>INDEX(Q2_Adult,15,8)</f>
        <v>No data</v>
      </c>
      <c r="H18" s="213" t="str">
        <f>INDEX(Q2_Adult,15,9)</f>
        <v>No data</v>
      </c>
      <c r="I18" s="203">
        <f t="shared" si="0"/>
        <v>0</v>
      </c>
      <c r="J18" s="204" t="str">
        <f>INDEX(Q2_Adult,15,10)</f>
        <v>No data</v>
      </c>
      <c r="K18" s="203">
        <f t="shared" si="1"/>
        <v>0</v>
      </c>
      <c r="L18" s="204" t="str">
        <f>INDEX(Q2_Adult,15,11)</f>
        <v>No data</v>
      </c>
      <c r="M18" s="203">
        <f t="shared" si="2"/>
        <v>0</v>
      </c>
      <c r="N18" s="204" t="str">
        <f>INDEX(Q2_Adult,15,12)</f>
        <v>No data</v>
      </c>
      <c r="O18" s="203">
        <f t="shared" si="3"/>
        <v>0</v>
      </c>
      <c r="P18" s="205" t="str">
        <f>INDEX(Q2_Adult,15,13)</f>
        <v>No data</v>
      </c>
      <c r="Q18" s="202" t="str">
        <f>INDEX(Q2_Adult,15,15)</f>
        <v>No data</v>
      </c>
      <c r="R18" s="203">
        <f t="shared" si="4"/>
        <v>0</v>
      </c>
      <c r="S18" s="204" t="str">
        <f>INDEX(Q2_Adult,15,16)</f>
        <v>No data</v>
      </c>
      <c r="T18" s="203">
        <f t="shared" si="5"/>
        <v>0</v>
      </c>
      <c r="U18" s="206" t="str">
        <f>INDEX(Q2_Adult,15,17)</f>
        <v>No data</v>
      </c>
      <c r="V18" s="203">
        <f t="shared" si="6"/>
        <v>0</v>
      </c>
      <c r="W18" s="204" t="str">
        <f>INDEX(Q2_Adult,15,18)</f>
        <v>No data</v>
      </c>
      <c r="X18" s="203">
        <f t="shared" si="7"/>
        <v>0</v>
      </c>
      <c r="Y18" s="114" t="str">
        <f>INDEX(Q2_Adult,15,19)</f>
        <v>No data</v>
      </c>
      <c r="Z18" s="67" t="str">
        <f>INDEX(Q2_Adult,15,21)</f>
        <v>No data</v>
      </c>
      <c r="AA18" s="68" t="str">
        <f>INDEX(Q2_Adult,15,22)</f>
        <v>No data</v>
      </c>
    </row>
    <row r="19" spans="2:27" s="8" customFormat="1" ht="21.75" customHeight="1" thickTop="1" thickBot="1" x14ac:dyDescent="0.35">
      <c r="B19" s="26" t="str">
        <f>INDEX(Q2_Adult,16,2)</f>
        <v>Gloucester, Gloucestershire Hospitals</v>
      </c>
      <c r="C19" s="26" t="s">
        <v>20</v>
      </c>
      <c r="D19" s="58">
        <v>3</v>
      </c>
      <c r="E19" s="26" t="s">
        <v>21</v>
      </c>
      <c r="F19" s="66">
        <f>INDEX(Q2_Adult,16,7)</f>
        <v>12</v>
      </c>
      <c r="G19" s="72">
        <f>INDEX(Q2_Adult,16,8)</f>
        <v>12</v>
      </c>
      <c r="H19" s="207">
        <f>INDEX(Q2_Adult,16,9)</f>
        <v>5</v>
      </c>
      <c r="I19" s="208">
        <f t="shared" si="0"/>
        <v>6.6666666666666666E-2</v>
      </c>
      <c r="J19" s="209">
        <f>INDEX(Q2_Adult,16,10)</f>
        <v>8</v>
      </c>
      <c r="K19" s="208">
        <f t="shared" si="1"/>
        <v>0.10666666666666667</v>
      </c>
      <c r="L19" s="209">
        <f>INDEX(Q2_Adult,16,11)</f>
        <v>21</v>
      </c>
      <c r="M19" s="208">
        <f t="shared" si="2"/>
        <v>0.28000000000000003</v>
      </c>
      <c r="N19" s="209">
        <f>INDEX(Q2_Adult,16,12)</f>
        <v>41</v>
      </c>
      <c r="O19" s="208">
        <f t="shared" si="3"/>
        <v>0.54666666666666663</v>
      </c>
      <c r="P19" s="210">
        <f>INDEX(Q2_Adult,16,13)</f>
        <v>75</v>
      </c>
      <c r="Q19" s="211">
        <f>INDEX(Q2_Adult,16,15)</f>
        <v>5</v>
      </c>
      <c r="R19" s="208">
        <f t="shared" si="4"/>
        <v>6.6666666666666666E-2</v>
      </c>
      <c r="S19" s="209">
        <f>INDEX(Q2_Adult,16,16)</f>
        <v>8</v>
      </c>
      <c r="T19" s="208">
        <f t="shared" si="5"/>
        <v>0.10666666666666667</v>
      </c>
      <c r="U19" s="212">
        <f>INDEX(Q2_Adult,16,17)</f>
        <v>21</v>
      </c>
      <c r="V19" s="208">
        <f t="shared" si="6"/>
        <v>0.28000000000000003</v>
      </c>
      <c r="W19" s="209">
        <f>INDEX(Q2_Adult,16,18)</f>
        <v>41</v>
      </c>
      <c r="X19" s="208">
        <f t="shared" si="7"/>
        <v>0.54666666666666663</v>
      </c>
      <c r="Y19" s="115">
        <f>INDEX(Q2_Adult,16,19)</f>
        <v>75</v>
      </c>
      <c r="Z19" s="69">
        <f>INDEX(Q2_Adult,16,21)</f>
        <v>0</v>
      </c>
      <c r="AA19" s="70">
        <f>INDEX(Q2_Adult,16,22)</f>
        <v>0</v>
      </c>
    </row>
    <row r="20" spans="2:27" s="8" customFormat="1" ht="21.75" customHeight="1" thickTop="1" thickBot="1" x14ac:dyDescent="0.35">
      <c r="B20" s="25" t="str">
        <f>INDEX(Q2_Adult,17,2)</f>
        <v xml:space="preserve">Plymouth, Derriford Hospital </v>
      </c>
      <c r="C20" s="25" t="s">
        <v>20</v>
      </c>
      <c r="D20" s="57">
        <v>3</v>
      </c>
      <c r="E20" s="25" t="s">
        <v>21</v>
      </c>
      <c r="F20" s="65">
        <f>INDEX(Q2_Adult,17,7)</f>
        <v>34</v>
      </c>
      <c r="G20" s="71">
        <f>INDEX(Q2_Adult,17,8)</f>
        <v>0</v>
      </c>
      <c r="H20" s="213">
        <f>INDEX(Q2_Adult,17,9)</f>
        <v>160</v>
      </c>
      <c r="I20" s="203">
        <f t="shared" si="0"/>
        <v>0.2527646129541864</v>
      </c>
      <c r="J20" s="204">
        <f>INDEX(Q2_Adult,17,10)</f>
        <v>133</v>
      </c>
      <c r="K20" s="203">
        <f t="shared" si="1"/>
        <v>0.21011058451816747</v>
      </c>
      <c r="L20" s="204">
        <f>INDEX(Q2_Adult,17,11)</f>
        <v>187</v>
      </c>
      <c r="M20" s="203">
        <f t="shared" si="2"/>
        <v>0.29541864139020535</v>
      </c>
      <c r="N20" s="204">
        <f>INDEX(Q2_Adult,17,12)</f>
        <v>153</v>
      </c>
      <c r="O20" s="203">
        <f t="shared" si="3"/>
        <v>0.24170616113744076</v>
      </c>
      <c r="P20" s="205">
        <f>INDEX(Q2_Adult,17,13)</f>
        <v>633</v>
      </c>
      <c r="Q20" s="202">
        <f>INDEX(Q2_Adult,17,15)</f>
        <v>0</v>
      </c>
      <c r="R20" s="203">
        <f t="shared" si="4"/>
        <v>0</v>
      </c>
      <c r="S20" s="204">
        <f>INDEX(Q2_Adult,17,16)</f>
        <v>0</v>
      </c>
      <c r="T20" s="203">
        <f t="shared" si="5"/>
        <v>0</v>
      </c>
      <c r="U20" s="206">
        <f>INDEX(Q2_Adult,17,17)</f>
        <v>0</v>
      </c>
      <c r="V20" s="203">
        <f t="shared" si="6"/>
        <v>0</v>
      </c>
      <c r="W20" s="204">
        <f>INDEX(Q2_Adult,17,18)</f>
        <v>0</v>
      </c>
      <c r="X20" s="203">
        <f t="shared" si="7"/>
        <v>0</v>
      </c>
      <c r="Y20" s="114">
        <f>INDEX(Q2_Adult,17,19)</f>
        <v>0</v>
      </c>
      <c r="Z20" s="67">
        <f>INDEX(Q2_Adult,17,21)</f>
        <v>0.04</v>
      </c>
      <c r="AA20" s="68">
        <f>INDEX(Q2_Adult,17,22)</f>
        <v>0</v>
      </c>
    </row>
    <row r="21" spans="2:27" s="8" customFormat="1" ht="21.75" customHeight="1" thickTop="1" thickBot="1" x14ac:dyDescent="0.35">
      <c r="B21" s="26" t="str">
        <f>INDEX(Q2_Adult,18,2)</f>
        <v xml:space="preserve">Swindon, Great Weston Hospital </v>
      </c>
      <c r="C21" s="26" t="s">
        <v>20</v>
      </c>
      <c r="D21" s="58">
        <v>3</v>
      </c>
      <c r="E21" s="26" t="s">
        <v>21</v>
      </c>
      <c r="F21" s="66" t="str">
        <f>INDEX(Q2_Adult,18,7)</f>
        <v>No data</v>
      </c>
      <c r="G21" s="72" t="str">
        <f>INDEX(Q2_Adult,18,8)</f>
        <v>No data</v>
      </c>
      <c r="H21" s="207" t="str">
        <f>INDEX(Q2_Adult,18,9)</f>
        <v>No data</v>
      </c>
      <c r="I21" s="208">
        <f t="shared" si="0"/>
        <v>0</v>
      </c>
      <c r="J21" s="209" t="str">
        <f>INDEX(Q2_Adult,18,10)</f>
        <v>No data</v>
      </c>
      <c r="K21" s="208">
        <f t="shared" si="1"/>
        <v>0</v>
      </c>
      <c r="L21" s="209" t="str">
        <f>INDEX(Q2_Adult,18,11)</f>
        <v>No data</v>
      </c>
      <c r="M21" s="208">
        <f t="shared" si="2"/>
        <v>0</v>
      </c>
      <c r="N21" s="209" t="str">
        <f>INDEX(Q2_Adult,18,12)</f>
        <v>No data</v>
      </c>
      <c r="O21" s="208">
        <f t="shared" si="3"/>
        <v>0</v>
      </c>
      <c r="P21" s="210" t="str">
        <f>INDEX(Q2_Adult,18,13)</f>
        <v>No data</v>
      </c>
      <c r="Q21" s="211" t="str">
        <f>INDEX(Q2_Adult,18,15)</f>
        <v>No data</v>
      </c>
      <c r="R21" s="208">
        <f t="shared" si="4"/>
        <v>0</v>
      </c>
      <c r="S21" s="209" t="str">
        <f>INDEX(Q2_Adult,18,16)</f>
        <v>No data</v>
      </c>
      <c r="T21" s="208">
        <f t="shared" si="5"/>
        <v>0</v>
      </c>
      <c r="U21" s="212" t="str">
        <f>INDEX(Q2_Adult,18,17)</f>
        <v>No data</v>
      </c>
      <c r="V21" s="208">
        <f t="shared" si="6"/>
        <v>0</v>
      </c>
      <c r="W21" s="209" t="str">
        <f>INDEX(Q2_Adult,18,18)</f>
        <v>No data</v>
      </c>
      <c r="X21" s="208">
        <f t="shared" si="7"/>
        <v>0</v>
      </c>
      <c r="Y21" s="115" t="str">
        <f>INDEX(Q2_Adult,18,19)</f>
        <v>No data</v>
      </c>
      <c r="Z21" s="69" t="str">
        <f>INDEX(Q2_Adult,18,21)</f>
        <v>No data</v>
      </c>
      <c r="AA21" s="70" t="str">
        <f>INDEX(Q2_Adult,18,22)</f>
        <v>No data</v>
      </c>
    </row>
    <row r="22" spans="2:27" s="8" customFormat="1" ht="21.75" customHeight="1" thickTop="1" thickBot="1" x14ac:dyDescent="0.35">
      <c r="B22" s="25" t="str">
        <f>INDEX(Q2_Adult,19,2)</f>
        <v xml:space="preserve">Taunton, Musgrove Park Hospital </v>
      </c>
      <c r="C22" s="25" t="s">
        <v>20</v>
      </c>
      <c r="D22" s="57">
        <v>3</v>
      </c>
      <c r="E22" s="25" t="s">
        <v>21</v>
      </c>
      <c r="F22" s="65">
        <f>INDEX(Q2_Adult,19,7)</f>
        <v>2</v>
      </c>
      <c r="G22" s="71">
        <f>INDEX(Q2_Adult,19,8)</f>
        <v>8</v>
      </c>
      <c r="H22" s="213">
        <f>INDEX(Q2_Adult,19,9)</f>
        <v>24</v>
      </c>
      <c r="I22" s="203">
        <f t="shared" si="0"/>
        <v>1</v>
      </c>
      <c r="J22" s="204">
        <f>INDEX(Q2_Adult,19,10)</f>
        <v>0</v>
      </c>
      <c r="K22" s="203">
        <f t="shared" si="1"/>
        <v>0</v>
      </c>
      <c r="L22" s="204">
        <f>INDEX(Q2_Adult,19,11)</f>
        <v>0</v>
      </c>
      <c r="M22" s="203">
        <f t="shared" si="2"/>
        <v>0</v>
      </c>
      <c r="N22" s="204">
        <f>INDEX(Q2_Adult,19,12)</f>
        <v>0</v>
      </c>
      <c r="O22" s="203">
        <f t="shared" si="3"/>
        <v>0</v>
      </c>
      <c r="P22" s="205">
        <f>INDEX(Q2_Adult,19,13)</f>
        <v>24</v>
      </c>
      <c r="Q22" s="202">
        <f>INDEX(Q2_Adult,19,15)</f>
        <v>10</v>
      </c>
      <c r="R22" s="203">
        <f t="shared" si="4"/>
        <v>0.58823529411764708</v>
      </c>
      <c r="S22" s="204">
        <f>INDEX(Q2_Adult,19,16)</f>
        <v>7</v>
      </c>
      <c r="T22" s="203">
        <f t="shared" si="5"/>
        <v>0.41176470588235292</v>
      </c>
      <c r="U22" s="206">
        <f>INDEX(Q2_Adult,19,17)</f>
        <v>0</v>
      </c>
      <c r="V22" s="203">
        <f t="shared" si="6"/>
        <v>0</v>
      </c>
      <c r="W22" s="204">
        <f>INDEX(Q2_Adult,19,18)</f>
        <v>0</v>
      </c>
      <c r="X22" s="203">
        <f t="shared" si="7"/>
        <v>0</v>
      </c>
      <c r="Y22" s="114">
        <f>INDEX(Q2_Adult,19,19)</f>
        <v>17</v>
      </c>
      <c r="Z22" s="67">
        <f>INDEX(Q2_Adult,19,21)</f>
        <v>0</v>
      </c>
      <c r="AA22" s="68">
        <f>INDEX(Q2_Adult,19,22)</f>
        <v>0</v>
      </c>
    </row>
    <row r="23" spans="2:27" s="8" customFormat="1" ht="21.75" customHeight="1" thickTop="1" thickBot="1" x14ac:dyDescent="0.35">
      <c r="B23" s="26" t="str">
        <f>INDEX(Q2_Adult,20,2)</f>
        <v xml:space="preserve">Torquay, Torbay General District Hospital </v>
      </c>
      <c r="C23" s="26" t="s">
        <v>20</v>
      </c>
      <c r="D23" s="58">
        <v>3</v>
      </c>
      <c r="E23" s="26" t="s">
        <v>21</v>
      </c>
      <c r="F23" s="66">
        <f>INDEX(Q2_Adult,20,7)</f>
        <v>5</v>
      </c>
      <c r="G23" s="72">
        <f>INDEX(Q2_Adult,20,8)</f>
        <v>0</v>
      </c>
      <c r="H23" s="207">
        <f>INDEX(Q2_Adult,20,9)</f>
        <v>6</v>
      </c>
      <c r="I23" s="208">
        <f t="shared" si="0"/>
        <v>1</v>
      </c>
      <c r="J23" s="209">
        <f>INDEX(Q2_Adult,20,10)</f>
        <v>0</v>
      </c>
      <c r="K23" s="208">
        <f t="shared" si="1"/>
        <v>0</v>
      </c>
      <c r="L23" s="209">
        <f>INDEX(Q2_Adult,20,11)</f>
        <v>0</v>
      </c>
      <c r="M23" s="208">
        <f t="shared" si="2"/>
        <v>0</v>
      </c>
      <c r="N23" s="209">
        <f>INDEX(Q2_Adult,20,12)</f>
        <v>0</v>
      </c>
      <c r="O23" s="208">
        <f t="shared" si="3"/>
        <v>0</v>
      </c>
      <c r="P23" s="210">
        <f>INDEX(Q2_Adult,20,13)</f>
        <v>6</v>
      </c>
      <c r="Q23" s="211">
        <f>INDEX(Q2_Adult,20,15)</f>
        <v>4</v>
      </c>
      <c r="R23" s="208">
        <f t="shared" si="4"/>
        <v>0.26666666666666666</v>
      </c>
      <c r="S23" s="209">
        <f>INDEX(Q2_Adult,20,16)</f>
        <v>8</v>
      </c>
      <c r="T23" s="208">
        <f t="shared" si="5"/>
        <v>0.53333333333333333</v>
      </c>
      <c r="U23" s="212">
        <f>INDEX(Q2_Adult,20,17)</f>
        <v>2</v>
      </c>
      <c r="V23" s="208">
        <f t="shared" si="6"/>
        <v>0.13333333333333333</v>
      </c>
      <c r="W23" s="209">
        <f>INDEX(Q2_Adult,20,18)</f>
        <v>1</v>
      </c>
      <c r="X23" s="208">
        <f t="shared" si="7"/>
        <v>6.6666666666666666E-2</v>
      </c>
      <c r="Y23" s="115">
        <f>INDEX(Q2_Adult,20,19)</f>
        <v>15</v>
      </c>
      <c r="Z23" s="69">
        <f>INDEX(Q2_Adult,20,21)</f>
        <v>0.04</v>
      </c>
      <c r="AA23" s="70">
        <f>INDEX(Q2_Adult,20,22)</f>
        <v>0.09</v>
      </c>
    </row>
    <row r="24" spans="2:27" s="8" customFormat="1" ht="21.75" customHeight="1" thickTop="1" thickBot="1" x14ac:dyDescent="0.35">
      <c r="B24" s="25" t="str">
        <f>INDEX(Q2_Adult,21,2)</f>
        <v xml:space="preserve">Truro, Royal Cornwall Hospital </v>
      </c>
      <c r="C24" s="25" t="s">
        <v>20</v>
      </c>
      <c r="D24" s="57">
        <v>3</v>
      </c>
      <c r="E24" s="25" t="s">
        <v>21</v>
      </c>
      <c r="F24" s="65" t="str">
        <f>INDEX(Q2_Adult,21,7)</f>
        <v>No data</v>
      </c>
      <c r="G24" s="71" t="str">
        <f>INDEX(Q2_Adult,21,8)</f>
        <v>No data</v>
      </c>
      <c r="H24" s="213" t="str">
        <f>INDEX(Q2_Adult,21,9)</f>
        <v>No data</v>
      </c>
      <c r="I24" s="203">
        <f t="shared" si="0"/>
        <v>0</v>
      </c>
      <c r="J24" s="204" t="str">
        <f>INDEX(Q2_Adult,21,10)</f>
        <v>No data</v>
      </c>
      <c r="K24" s="203">
        <f t="shared" si="1"/>
        <v>0</v>
      </c>
      <c r="L24" s="204" t="str">
        <f>INDEX(Q2_Adult,21,11)</f>
        <v>No data</v>
      </c>
      <c r="M24" s="203">
        <f t="shared" si="2"/>
        <v>0</v>
      </c>
      <c r="N24" s="204" t="str">
        <f>INDEX(Q2_Adult,21,12)</f>
        <v>No data</v>
      </c>
      <c r="O24" s="203">
        <f t="shared" si="3"/>
        <v>0</v>
      </c>
      <c r="P24" s="205" t="str">
        <f>INDEX(Q2_Adult,21,13)</f>
        <v>No data</v>
      </c>
      <c r="Q24" s="202" t="str">
        <f>INDEX(Q2_Adult,21,15)</f>
        <v>No data</v>
      </c>
      <c r="R24" s="203">
        <f t="shared" si="4"/>
        <v>0</v>
      </c>
      <c r="S24" s="204" t="str">
        <f>INDEX(Q2_Adult,21,16)</f>
        <v>No data</v>
      </c>
      <c r="T24" s="203">
        <f t="shared" si="5"/>
        <v>0</v>
      </c>
      <c r="U24" s="206" t="str">
        <f>INDEX(Q2_Adult,21,17)</f>
        <v>No data</v>
      </c>
      <c r="V24" s="203">
        <f t="shared" si="6"/>
        <v>0</v>
      </c>
      <c r="W24" s="204" t="str">
        <f>INDEX(Q2_Adult,21,18)</f>
        <v>No data</v>
      </c>
      <c r="X24" s="203">
        <f t="shared" si="7"/>
        <v>0</v>
      </c>
      <c r="Y24" s="114" t="str">
        <f>INDEX(Q2_Adult,21,19)</f>
        <v>No data</v>
      </c>
      <c r="Z24" s="67" t="str">
        <f>INDEX(Q2_Adult,21,21)</f>
        <v>No data</v>
      </c>
      <c r="AA24" s="68" t="str">
        <f>INDEX(Q2_Adult,21,22)</f>
        <v>No data</v>
      </c>
    </row>
    <row r="25" spans="2:27" ht="15" thickTop="1" x14ac:dyDescent="0.3">
      <c r="B25" s="16"/>
      <c r="C25" s="16"/>
      <c r="D25" s="16"/>
      <c r="E25" s="16"/>
      <c r="F25" s="15"/>
      <c r="G25" s="15"/>
      <c r="H25" s="120"/>
      <c r="I25" s="15"/>
      <c r="J25" s="120"/>
      <c r="K25" s="15"/>
      <c r="L25" s="120"/>
      <c r="M25" s="15"/>
      <c r="N25" s="120"/>
      <c r="O25" s="15"/>
      <c r="P25" s="15"/>
      <c r="Q25" s="120"/>
      <c r="R25" s="15"/>
      <c r="S25" s="120"/>
      <c r="T25" s="15"/>
      <c r="U25" s="120"/>
      <c r="V25" s="15"/>
      <c r="W25" s="120"/>
      <c r="X25" s="15"/>
      <c r="Y25" s="15"/>
      <c r="Z25" s="15"/>
      <c r="AA25" s="15"/>
    </row>
    <row r="26" spans="2:27" ht="15" thickBot="1" x14ac:dyDescent="0.35">
      <c r="B26" s="16"/>
      <c r="C26" s="16"/>
      <c r="D26" s="16"/>
      <c r="E26" s="16"/>
      <c r="F26" s="15"/>
      <c r="G26" s="15"/>
      <c r="H26" s="120"/>
      <c r="I26" s="15"/>
      <c r="J26" s="120"/>
      <c r="K26" s="15"/>
      <c r="L26" s="120"/>
      <c r="M26" s="15"/>
      <c r="N26" s="120"/>
      <c r="O26" s="15"/>
      <c r="P26" s="15"/>
      <c r="Q26" s="120"/>
      <c r="R26" s="15"/>
      <c r="S26" s="120"/>
      <c r="T26" s="15"/>
      <c r="U26" s="120"/>
      <c r="V26" s="15"/>
      <c r="W26" s="120"/>
      <c r="X26" s="15"/>
      <c r="Y26" s="15"/>
      <c r="Z26" s="15"/>
      <c r="AA26" s="15"/>
    </row>
    <row r="27" spans="2:27" ht="14.4" x14ac:dyDescent="0.3">
      <c r="B27" s="319" t="s">
        <v>86</v>
      </c>
      <c r="C27" s="320" t="s">
        <v>87</v>
      </c>
      <c r="D27" s="321"/>
      <c r="E27" s="322"/>
      <c r="F27" s="329" t="s">
        <v>78</v>
      </c>
      <c r="G27" s="300"/>
      <c r="H27" s="330"/>
      <c r="I27" s="331"/>
      <c r="J27" s="334" t="s">
        <v>84</v>
      </c>
      <c r="K27" s="335"/>
      <c r="L27" s="309" t="s">
        <v>84</v>
      </c>
      <c r="M27" s="310"/>
      <c r="N27" s="313" t="s">
        <v>84</v>
      </c>
      <c r="O27" s="314"/>
      <c r="P27" s="228"/>
      <c r="Q27" s="330"/>
      <c r="R27" s="331"/>
      <c r="S27" s="334" t="s">
        <v>84</v>
      </c>
      <c r="T27" s="335"/>
      <c r="U27" s="309" t="s">
        <v>84</v>
      </c>
      <c r="V27" s="310"/>
      <c r="W27" s="313" t="s">
        <v>84</v>
      </c>
      <c r="X27" s="314"/>
      <c r="Y27" s="129"/>
      <c r="Z27" s="299" t="s">
        <v>81</v>
      </c>
      <c r="AA27" s="300"/>
    </row>
    <row r="28" spans="2:27" ht="14.4" x14ac:dyDescent="0.3">
      <c r="B28" s="319"/>
      <c r="C28" s="323"/>
      <c r="D28" s="324"/>
      <c r="E28" s="325"/>
      <c r="F28" s="301" t="s">
        <v>79</v>
      </c>
      <c r="G28" s="302"/>
      <c r="H28" s="332"/>
      <c r="I28" s="333"/>
      <c r="J28" s="336"/>
      <c r="K28" s="337"/>
      <c r="L28" s="311"/>
      <c r="M28" s="312"/>
      <c r="N28" s="315"/>
      <c r="O28" s="316"/>
      <c r="P28" s="229"/>
      <c r="Q28" s="332"/>
      <c r="R28" s="333"/>
      <c r="S28" s="336"/>
      <c r="T28" s="337"/>
      <c r="U28" s="311"/>
      <c r="V28" s="312"/>
      <c r="W28" s="315"/>
      <c r="X28" s="316"/>
      <c r="Y28" s="130"/>
      <c r="Z28" s="303" t="s">
        <v>82</v>
      </c>
      <c r="AA28" s="302"/>
    </row>
    <row r="29" spans="2:27" ht="15" thickBot="1" x14ac:dyDescent="0.35">
      <c r="B29" s="319"/>
      <c r="C29" s="326"/>
      <c r="D29" s="327"/>
      <c r="E29" s="328"/>
      <c r="F29" s="342" t="s">
        <v>80</v>
      </c>
      <c r="G29" s="308"/>
      <c r="H29" s="304"/>
      <c r="I29" s="305"/>
      <c r="J29" s="306" t="s">
        <v>85</v>
      </c>
      <c r="K29" s="305"/>
      <c r="L29" s="306" t="s">
        <v>85</v>
      </c>
      <c r="M29" s="305"/>
      <c r="N29" s="306" t="s">
        <v>85</v>
      </c>
      <c r="O29" s="305"/>
      <c r="P29" s="230"/>
      <c r="Q29" s="304"/>
      <c r="R29" s="305"/>
      <c r="S29" s="306" t="s">
        <v>85</v>
      </c>
      <c r="T29" s="305"/>
      <c r="U29" s="306" t="s">
        <v>85</v>
      </c>
      <c r="V29" s="305"/>
      <c r="W29" s="306" t="s">
        <v>85</v>
      </c>
      <c r="X29" s="305"/>
      <c r="Y29" s="116"/>
      <c r="Z29" s="307" t="s">
        <v>83</v>
      </c>
      <c r="AA29" s="308"/>
    </row>
    <row r="30" spans="2:27" ht="14.4" x14ac:dyDescent="0.3">
      <c r="B30" s="17"/>
      <c r="C30" s="17"/>
      <c r="D30" s="17"/>
      <c r="E30" s="17"/>
      <c r="F30" s="18"/>
      <c r="G30" s="18"/>
      <c r="H30" s="121"/>
      <c r="I30" s="18"/>
      <c r="J30" s="121"/>
      <c r="K30" s="18"/>
      <c r="L30" s="121"/>
      <c r="M30" s="18"/>
      <c r="N30" s="121"/>
      <c r="O30" s="18"/>
      <c r="P30" s="18"/>
      <c r="Q30" s="121"/>
      <c r="R30" s="18"/>
      <c r="S30" s="121"/>
      <c r="T30" s="18"/>
      <c r="U30" s="121"/>
      <c r="V30" s="18"/>
      <c r="W30" s="121"/>
      <c r="X30" s="18"/>
      <c r="Y30" s="18"/>
      <c r="Z30" s="18"/>
      <c r="AA30" s="19"/>
    </row>
    <row r="31" spans="2:27" ht="14.4" x14ac:dyDescent="0.3">
      <c r="B31" s="15"/>
      <c r="C31" s="15"/>
      <c r="D31" s="15"/>
      <c r="E31" s="15"/>
      <c r="F31" s="20">
        <v>10</v>
      </c>
      <c r="G31" s="20">
        <v>10</v>
      </c>
      <c r="H31" s="122">
        <v>10</v>
      </c>
      <c r="I31" s="20"/>
      <c r="J31" s="122">
        <v>10</v>
      </c>
      <c r="K31" s="20">
        <v>10</v>
      </c>
      <c r="L31" s="122">
        <v>10</v>
      </c>
      <c r="M31" s="20"/>
      <c r="N31" s="122"/>
      <c r="O31" s="20"/>
      <c r="P31" s="20"/>
      <c r="Q31" s="122"/>
      <c r="R31" s="20"/>
      <c r="S31" s="122"/>
      <c r="T31" s="20"/>
      <c r="U31" s="122"/>
      <c r="V31" s="20"/>
      <c r="W31" s="122"/>
      <c r="X31" s="20"/>
      <c r="Y31" s="20"/>
      <c r="Z31" s="20"/>
      <c r="AA31" s="15"/>
    </row>
    <row r="32" spans="2:27" ht="14.4" x14ac:dyDescent="0.3">
      <c r="B32" s="16" t="s">
        <v>15</v>
      </c>
      <c r="C32" s="16"/>
      <c r="D32" s="16"/>
      <c r="E32" s="16"/>
      <c r="F32" s="21"/>
      <c r="G32" s="15"/>
      <c r="H32" s="120"/>
      <c r="I32" s="15"/>
      <c r="J32" s="120"/>
      <c r="K32" s="15"/>
      <c r="L32" s="120"/>
      <c r="M32" s="15"/>
      <c r="N32" s="120"/>
      <c r="O32" s="15"/>
      <c r="P32" s="15"/>
      <c r="Q32" s="120"/>
      <c r="R32" s="15"/>
      <c r="S32" s="120"/>
      <c r="T32" s="15"/>
      <c r="U32" s="120"/>
      <c r="V32" s="15"/>
      <c r="W32" s="120"/>
      <c r="X32" s="15"/>
      <c r="Y32" s="15"/>
      <c r="Z32" s="15"/>
      <c r="AA32" s="15"/>
    </row>
    <row r="33" spans="2:27" ht="14.4" x14ac:dyDescent="0.3">
      <c r="B33" s="22" t="s">
        <v>16</v>
      </c>
      <c r="C33" s="22"/>
      <c r="D33" s="22"/>
      <c r="E33" s="22"/>
      <c r="F33" s="15"/>
      <c r="G33" s="15"/>
      <c r="H33" s="120"/>
      <c r="I33" s="15"/>
      <c r="J33" s="120"/>
      <c r="K33" s="15"/>
      <c r="L33" s="120"/>
      <c r="M33" s="15"/>
      <c r="N33" s="120"/>
      <c r="O33" s="15"/>
      <c r="P33" s="15"/>
      <c r="Q33" s="120"/>
      <c r="R33" s="15"/>
      <c r="S33" s="120"/>
      <c r="T33" s="15"/>
      <c r="U33" s="120"/>
      <c r="V33" s="15"/>
      <c r="W33" s="120"/>
      <c r="X33" s="15"/>
      <c r="Y33" s="15"/>
      <c r="Z33" s="15"/>
      <c r="AA33" s="15"/>
    </row>
    <row r="34" spans="2:27" ht="14.4" x14ac:dyDescent="0.3">
      <c r="B34" s="23"/>
      <c r="C34" s="23"/>
      <c r="D34" s="23"/>
      <c r="E34" s="23"/>
      <c r="F34" s="15"/>
      <c r="G34" s="15"/>
      <c r="H34" s="120"/>
      <c r="I34" s="15"/>
      <c r="J34" s="120"/>
      <c r="K34" s="15"/>
      <c r="L34" s="120"/>
      <c r="M34" s="15"/>
      <c r="N34" s="120"/>
      <c r="O34" s="15"/>
      <c r="P34" s="15"/>
      <c r="Q34" s="120"/>
      <c r="R34" s="15"/>
      <c r="S34" s="120"/>
      <c r="T34" s="15"/>
      <c r="U34" s="120"/>
      <c r="V34" s="15"/>
      <c r="W34" s="120"/>
      <c r="X34" s="15"/>
      <c r="Y34" s="15"/>
      <c r="Z34" s="15"/>
      <c r="AA34" s="15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sheetProtection algorithmName="SHA-512" hashValue="sKS2pvvCPPQk1F5qkH3I8Ivprqh81MO1wRMs4i65RtmJankZKWDLi/IEZpU4F9jMhdjMSeSO/llAhR37mME+Xw==" saltValue="4cFgXUus3yEflVBHOH1WOw==" spinCount="100000" sheet="1" objects="1" scenarios="1" selectLockedCells="1"/>
  <mergeCells count="45"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151" priority="28" operator="containsText" text="N/A">
      <formula>NOT(ISERROR(SEARCH("N/A",F8)))</formula>
    </cfRule>
    <cfRule type="cellIs" dxfId="150" priority="35" operator="between">
      <formula>0.01</formula>
      <formula>13</formula>
    </cfRule>
    <cfRule type="cellIs" dxfId="149" priority="36" operator="between">
      <formula>13</formula>
      <formula>18</formula>
    </cfRule>
    <cfRule type="cellIs" dxfId="148" priority="37" operator="greaterThan">
      <formula>18</formula>
    </cfRule>
    <cfRule type="cellIs" dxfId="147" priority="38" operator="greaterThan">
      <formula>18</formula>
    </cfRule>
  </conditionalFormatting>
  <conditionalFormatting sqref="T8:T9 K8:K9">
    <cfRule type="cellIs" dxfId="146" priority="34" operator="greaterThan">
      <formula>0.5</formula>
    </cfRule>
  </conditionalFormatting>
  <conditionalFormatting sqref="M8:M9 V8:V9">
    <cfRule type="cellIs" dxfId="145" priority="33" operator="greaterThan">
      <formula>0.49</formula>
    </cfRule>
  </conditionalFormatting>
  <conditionalFormatting sqref="X8:X9 O8:O9">
    <cfRule type="cellIs" dxfId="144" priority="32" operator="greaterThan">
      <formula>0.5</formula>
    </cfRule>
  </conditionalFormatting>
  <conditionalFormatting sqref="Z8:AA9">
    <cfRule type="cellIs" dxfId="143" priority="29" operator="between">
      <formula>0.0001</formula>
      <formula>0.1</formula>
    </cfRule>
    <cfRule type="cellIs" dxfId="142" priority="30" operator="between">
      <formula>0.1</formula>
      <formula>0.19</formula>
    </cfRule>
    <cfRule type="cellIs" dxfId="141" priority="31" operator="greaterThan">
      <formula>0.2</formula>
    </cfRule>
  </conditionalFormatting>
  <conditionalFormatting sqref="J8:J24">
    <cfRule type="expression" dxfId="140" priority="27">
      <formula>($J8/$P8*100)&gt;49.49</formula>
    </cfRule>
  </conditionalFormatting>
  <conditionalFormatting sqref="L8:L24">
    <cfRule type="expression" dxfId="139" priority="26">
      <formula>($L8/$P8*100)&gt;49.49</formula>
    </cfRule>
  </conditionalFormatting>
  <conditionalFormatting sqref="N8:N24">
    <cfRule type="expression" dxfId="138" priority="25">
      <formula>($N8/$P8*100)&gt;49.49</formula>
    </cfRule>
  </conditionalFormatting>
  <conditionalFormatting sqref="S8:S24">
    <cfRule type="expression" dxfId="137" priority="24">
      <formula>($S8/$Y8*100)&gt;49.49</formula>
    </cfRule>
  </conditionalFormatting>
  <conditionalFormatting sqref="U8:U24">
    <cfRule type="expression" dxfId="136" priority="23">
      <formula>($U8/$Y8*100)&gt;49.49</formula>
    </cfRule>
  </conditionalFormatting>
  <conditionalFormatting sqref="W8:W24">
    <cfRule type="expression" dxfId="135" priority="22">
      <formula>($W8/$Y8*100)&gt;49.49</formula>
    </cfRule>
  </conditionalFormatting>
  <conditionalFormatting sqref="L9">
    <cfRule type="expression" dxfId="134" priority="21">
      <formula>"$M$9=&gt;.499"</formula>
    </cfRule>
  </conditionalFormatting>
  <conditionalFormatting sqref="F8:AA24">
    <cfRule type="expression" dxfId="133" priority="20">
      <formula>$F8="No data"</formula>
    </cfRule>
  </conditionalFormatting>
  <conditionalFormatting sqref="F10:G24">
    <cfRule type="containsText" dxfId="132" priority="9" operator="containsText" text="N/A">
      <formula>NOT(ISERROR(SEARCH("N/A",F10)))</formula>
    </cfRule>
    <cfRule type="cellIs" dxfId="131" priority="16" operator="between">
      <formula>0.01</formula>
      <formula>13</formula>
    </cfRule>
    <cfRule type="cellIs" dxfId="130" priority="17" operator="between">
      <formula>13</formula>
      <formula>18</formula>
    </cfRule>
    <cfRule type="cellIs" dxfId="129" priority="18" operator="greaterThan">
      <formula>18</formula>
    </cfRule>
    <cfRule type="cellIs" dxfId="128" priority="19" operator="greaterThan">
      <formula>18</formula>
    </cfRule>
  </conditionalFormatting>
  <conditionalFormatting sqref="T10:T24 K10:K24">
    <cfRule type="cellIs" dxfId="127" priority="15" operator="greaterThan">
      <formula>0.5</formula>
    </cfRule>
  </conditionalFormatting>
  <conditionalFormatting sqref="M10:M24 V10:V24">
    <cfRule type="cellIs" dxfId="126" priority="14" operator="greaterThan">
      <formula>0.49</formula>
    </cfRule>
  </conditionalFormatting>
  <conditionalFormatting sqref="X10:X24 O10:O24">
    <cfRule type="cellIs" dxfId="125" priority="13" operator="greaterThan">
      <formula>0.5</formula>
    </cfRule>
  </conditionalFormatting>
  <conditionalFormatting sqref="Z10:AA24">
    <cfRule type="cellIs" dxfId="124" priority="10" operator="between">
      <formula>0.0001</formula>
      <formula>0.1</formula>
    </cfRule>
    <cfRule type="cellIs" dxfId="123" priority="11" operator="between">
      <formula>0.1</formula>
      <formula>0.19</formula>
    </cfRule>
    <cfRule type="cellIs" dxfId="122" priority="12" operator="greaterThan">
      <formula>0.2</formula>
    </cfRule>
  </conditionalFormatting>
  <conditionalFormatting sqref="L11 L13 L15 L17 L19 L21 L23">
    <cfRule type="expression" dxfId="121" priority="2">
      <formula>"$M$9=&gt;.499"</formula>
    </cfRule>
  </conditionalFormatting>
  <hyperlinks>
    <hyperlink ref="C27:E29" location="Sheet1!A1" display="For more information on rag ratings please click here" xr:uid="{00000000-0004-0000-0500-000000000000}"/>
    <hyperlink ref="B3" location="'Front Page'!A1" display="Return to Contents" xr:uid="{00000000-0004-0000-0500-000001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62"/>
  <sheetViews>
    <sheetView showGridLines="0" zoomScale="80" zoomScaleNormal="80" workbookViewId="0">
      <selection activeCell="B3" sqref="B3"/>
    </sheetView>
  </sheetViews>
  <sheetFormatPr defaultColWidth="0" defaultRowHeight="0" customHeight="1" zeroHeight="1" x14ac:dyDescent="0.3"/>
  <cols>
    <col min="1" max="1" width="4" style="33" customWidth="1"/>
    <col min="2" max="2" width="59.6640625" style="33" customWidth="1"/>
    <col min="3" max="3" width="13.33203125" style="33" customWidth="1"/>
    <col min="4" max="4" width="7.6640625" style="33" customWidth="1"/>
    <col min="5" max="5" width="11.44140625" style="33" customWidth="1"/>
    <col min="6" max="7" width="12" style="33" customWidth="1"/>
    <col min="8" max="8" width="5.109375" style="123" customWidth="1"/>
    <col min="9" max="9" width="6.88671875" style="33" customWidth="1"/>
    <col min="10" max="10" width="5.109375" style="123" customWidth="1"/>
    <col min="11" max="11" width="6.88671875" style="33" customWidth="1"/>
    <col min="12" max="12" width="5.109375" style="123" customWidth="1"/>
    <col min="13" max="13" width="6.88671875" style="33" customWidth="1"/>
    <col min="14" max="14" width="5.109375" style="123" customWidth="1"/>
    <col min="15" max="15" width="6.88671875" style="33" customWidth="1"/>
    <col min="16" max="16" width="11.5546875" style="33" customWidth="1"/>
    <col min="17" max="17" width="5.109375" style="123" customWidth="1"/>
    <col min="18" max="18" width="6.88671875" style="33" customWidth="1"/>
    <col min="19" max="19" width="5.109375" style="123" customWidth="1"/>
    <col min="20" max="20" width="6.88671875" style="33" customWidth="1"/>
    <col min="21" max="21" width="5.109375" style="123" customWidth="1"/>
    <col min="22" max="22" width="6.88671875" style="33" customWidth="1"/>
    <col min="23" max="23" width="5.109375" style="123" customWidth="1"/>
    <col min="24" max="24" width="6.88671875" style="33" customWidth="1"/>
    <col min="25" max="25" width="11.5546875" style="33" customWidth="1"/>
    <col min="26" max="27" width="10.6640625" style="33" customWidth="1"/>
    <col min="28" max="28" width="9.109375" style="33" customWidth="1"/>
    <col min="29" max="30" width="0" style="33" hidden="1" customWidth="1"/>
    <col min="31" max="16384" width="9.109375" style="33" hidden="1"/>
  </cols>
  <sheetData>
    <row r="1" spans="1:28" ht="35.25" customHeight="1" x14ac:dyDescent="0.3">
      <c r="A1" s="10"/>
      <c r="B1" s="97" t="s">
        <v>101</v>
      </c>
      <c r="C1" s="84"/>
      <c r="D1" s="84"/>
      <c r="E1" s="84"/>
      <c r="F1" s="84"/>
      <c r="G1" s="84"/>
      <c r="H1" s="117"/>
      <c r="I1" s="84"/>
      <c r="J1" s="117"/>
      <c r="K1" s="84"/>
      <c r="L1" s="117"/>
      <c r="M1" s="84"/>
      <c r="N1" s="117"/>
      <c r="O1" s="84"/>
      <c r="P1" s="84"/>
      <c r="Q1" s="117"/>
      <c r="R1" s="84"/>
      <c r="S1" s="117"/>
      <c r="T1" s="84"/>
      <c r="U1" s="117"/>
      <c r="V1" s="84"/>
      <c r="W1" s="117"/>
      <c r="X1" s="84"/>
      <c r="Y1" s="84"/>
      <c r="Z1" s="84"/>
      <c r="AA1" s="84"/>
      <c r="AB1" s="84"/>
    </row>
    <row r="2" spans="1:28" s="42" customFormat="1" ht="5.0999999999999996" customHeight="1" x14ac:dyDescent="0.3">
      <c r="B2" s="124"/>
      <c r="C2" s="125"/>
      <c r="D2" s="125"/>
      <c r="E2" s="125"/>
      <c r="F2" s="125"/>
      <c r="G2" s="125"/>
      <c r="H2" s="126"/>
      <c r="I2" s="125"/>
      <c r="J2" s="126"/>
      <c r="K2" s="125"/>
      <c r="L2" s="126"/>
      <c r="M2" s="125"/>
      <c r="N2" s="126"/>
      <c r="O2" s="125"/>
      <c r="P2" s="125"/>
      <c r="Q2" s="126"/>
      <c r="R2" s="125"/>
      <c r="S2" s="126"/>
      <c r="T2" s="125"/>
      <c r="U2" s="126"/>
      <c r="V2" s="125"/>
      <c r="W2" s="126"/>
      <c r="X2" s="125"/>
      <c r="Y2" s="125"/>
      <c r="AB2" s="125"/>
    </row>
    <row r="3" spans="1:28" s="93" customFormat="1" ht="31.5" customHeight="1" x14ac:dyDescent="0.35">
      <c r="B3" s="286" t="s">
        <v>95</v>
      </c>
      <c r="C3" s="94"/>
      <c r="D3" s="94"/>
      <c r="E3" s="94"/>
      <c r="F3" s="94"/>
      <c r="H3" s="118"/>
      <c r="I3" s="94"/>
      <c r="J3" s="118"/>
      <c r="K3" s="94"/>
      <c r="L3" s="118"/>
      <c r="M3" s="95"/>
      <c r="N3" s="118"/>
      <c r="O3" s="95"/>
      <c r="P3" s="95"/>
      <c r="Q3" s="118"/>
      <c r="R3" s="95"/>
      <c r="S3" s="118"/>
      <c r="T3" s="95"/>
      <c r="U3" s="118"/>
      <c r="V3" s="95"/>
      <c r="W3" s="118"/>
      <c r="X3" s="95"/>
      <c r="Y3" s="95"/>
      <c r="Z3" s="94"/>
      <c r="AA3" s="96"/>
    </row>
    <row r="4" spans="1:28" ht="35.4" customHeight="1" thickBot="1" x14ac:dyDescent="0.5">
      <c r="B4" s="128" t="s">
        <v>201</v>
      </c>
      <c r="C4" s="13"/>
      <c r="D4" s="13"/>
      <c r="E4" s="13"/>
      <c r="F4" s="43"/>
      <c r="G4" s="13"/>
      <c r="H4" s="119"/>
      <c r="I4" s="13"/>
      <c r="J4" s="119"/>
      <c r="K4" s="13"/>
      <c r="L4" s="119"/>
      <c r="M4" s="14"/>
      <c r="N4" s="119"/>
      <c r="O4" s="14"/>
      <c r="P4" s="14"/>
      <c r="Q4" s="119"/>
      <c r="R4" s="14"/>
      <c r="S4" s="119"/>
      <c r="T4" s="14"/>
      <c r="U4" s="119"/>
      <c r="V4" s="14"/>
      <c r="W4" s="119"/>
      <c r="X4" s="14"/>
      <c r="Y4" s="14"/>
      <c r="Z4" s="13"/>
      <c r="AA4" s="15"/>
    </row>
    <row r="5" spans="1:28" ht="30.75" customHeight="1" thickTop="1" thickBot="1" x14ac:dyDescent="0.35">
      <c r="B5" s="338" t="s">
        <v>14</v>
      </c>
      <c r="C5" s="339" t="s">
        <v>18</v>
      </c>
      <c r="D5" s="339" t="s">
        <v>65</v>
      </c>
      <c r="E5" s="339" t="s">
        <v>19</v>
      </c>
      <c r="F5" s="343" t="s">
        <v>24</v>
      </c>
      <c r="G5" s="344"/>
      <c r="H5" s="343" t="s">
        <v>27</v>
      </c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3" t="s">
        <v>3</v>
      </c>
      <c r="AA5" s="344"/>
    </row>
    <row r="6" spans="1:28" ht="44.1" customHeight="1" thickTop="1" thickBot="1" x14ac:dyDescent="0.35">
      <c r="B6" s="338"/>
      <c r="C6" s="340"/>
      <c r="D6" s="340"/>
      <c r="E6" s="340"/>
      <c r="F6" s="345" t="s">
        <v>25</v>
      </c>
      <c r="G6" s="347" t="s">
        <v>26</v>
      </c>
      <c r="H6" s="343" t="s">
        <v>32</v>
      </c>
      <c r="I6" s="349"/>
      <c r="J6" s="349"/>
      <c r="K6" s="349"/>
      <c r="L6" s="349"/>
      <c r="M6" s="349"/>
      <c r="N6" s="349"/>
      <c r="O6" s="349"/>
      <c r="P6" s="349"/>
      <c r="Q6" s="343" t="s">
        <v>31</v>
      </c>
      <c r="R6" s="349"/>
      <c r="S6" s="349"/>
      <c r="T6" s="349"/>
      <c r="U6" s="349"/>
      <c r="V6" s="349"/>
      <c r="W6" s="349"/>
      <c r="X6" s="349"/>
      <c r="Y6" s="349"/>
      <c r="Z6" s="345" t="s">
        <v>9</v>
      </c>
      <c r="AA6" s="347" t="s">
        <v>17</v>
      </c>
    </row>
    <row r="7" spans="1:28" ht="51.75" customHeight="1" thickTop="1" thickBot="1" x14ac:dyDescent="0.35">
      <c r="B7" s="338"/>
      <c r="C7" s="341"/>
      <c r="D7" s="341"/>
      <c r="E7" s="341"/>
      <c r="F7" s="346"/>
      <c r="G7" s="348"/>
      <c r="H7" s="350" t="s">
        <v>117</v>
      </c>
      <c r="I7" s="351"/>
      <c r="J7" s="318" t="s">
        <v>28</v>
      </c>
      <c r="K7" s="318"/>
      <c r="L7" s="318" t="s">
        <v>29</v>
      </c>
      <c r="M7" s="318"/>
      <c r="N7" s="317" t="s">
        <v>30</v>
      </c>
      <c r="O7" s="318"/>
      <c r="P7" s="227" t="s">
        <v>118</v>
      </c>
      <c r="Q7" s="350" t="s">
        <v>117</v>
      </c>
      <c r="R7" s="351"/>
      <c r="S7" s="318" t="s">
        <v>28</v>
      </c>
      <c r="T7" s="318"/>
      <c r="U7" s="318" t="s">
        <v>29</v>
      </c>
      <c r="V7" s="318"/>
      <c r="W7" s="317" t="s">
        <v>30</v>
      </c>
      <c r="X7" s="318"/>
      <c r="Y7" s="227" t="s">
        <v>118</v>
      </c>
      <c r="Z7" s="346"/>
      <c r="AA7" s="348"/>
    </row>
    <row r="8" spans="1:28" s="83" customFormat="1" ht="21.75" customHeight="1" thickTop="1" thickBot="1" x14ac:dyDescent="0.35">
      <c r="B8" s="27" t="s">
        <v>208</v>
      </c>
      <c r="C8" s="27" t="s">
        <v>23</v>
      </c>
      <c r="D8" s="59">
        <v>1</v>
      </c>
      <c r="E8" s="27" t="s">
        <v>21</v>
      </c>
      <c r="F8" s="216">
        <f>INDEX(Q2_Paeds,15,7)</f>
        <v>70</v>
      </c>
      <c r="G8" s="216">
        <f>INDEX(Q2_Paeds,15,8)</f>
        <v>0</v>
      </c>
      <c r="H8" s="202">
        <f>INDEX(Q2_Paeds,15,9)</f>
        <v>303</v>
      </c>
      <c r="I8" s="203">
        <f>IFERROR(H8/P8,0)</f>
        <v>0.24415793714746173</v>
      </c>
      <c r="J8" s="204">
        <f>INDEX(Q2_Paeds,15,10)</f>
        <v>254</v>
      </c>
      <c r="K8" s="203">
        <f>IFERROR(J8/P8,0)</f>
        <v>0.20467365028203063</v>
      </c>
      <c r="L8" s="204">
        <f>INDEX(Q2_Paeds,15,11)</f>
        <v>423</v>
      </c>
      <c r="M8" s="203">
        <f>IFERROR(L8/P8,0)</f>
        <v>0.34085414987912971</v>
      </c>
      <c r="N8" s="204">
        <f>INDEX(Q2_Paeds,15,12)</f>
        <v>261</v>
      </c>
      <c r="O8" s="203">
        <f>IFERROR(N8/P8,0)</f>
        <v>0.21031426269137793</v>
      </c>
      <c r="P8" s="205">
        <f>INDEX(Q2_Paeds,15,13)</f>
        <v>1241</v>
      </c>
      <c r="Q8" s="202">
        <f>INDEX(Q2_Paeds,15,15)</f>
        <v>0</v>
      </c>
      <c r="R8" s="203">
        <f>IFERROR(Q8/Y8,0)</f>
        <v>0</v>
      </c>
      <c r="S8" s="204">
        <f>INDEX(Q2_Paeds,15,16)</f>
        <v>0</v>
      </c>
      <c r="T8" s="203">
        <f>IFERROR(S8/Y8,0)</f>
        <v>0</v>
      </c>
      <c r="U8" s="206">
        <f>INDEX(Q2_Paeds,15,17)</f>
        <v>0</v>
      </c>
      <c r="V8" s="203">
        <f>IFERROR(U8/Y8,0)</f>
        <v>0</v>
      </c>
      <c r="W8" s="204">
        <f>INDEX(Q2_Paeds,15,18)</f>
        <v>0</v>
      </c>
      <c r="X8" s="203">
        <f>IFERROR(W8/Y8,0)</f>
        <v>0</v>
      </c>
      <c r="Y8" s="205">
        <f>INDEX(Q2_Paeds,15,19)</f>
        <v>0</v>
      </c>
      <c r="Z8" s="217">
        <f>INDEX(Q2_Paeds,15,21)</f>
        <v>0.09</v>
      </c>
      <c r="AA8" s="218">
        <f>INDEX(Q2_Paeds,15,22)</f>
        <v>0</v>
      </c>
    </row>
    <row r="9" spans="1:28" s="8" customFormat="1" ht="21.75" customHeight="1" thickTop="1" thickBot="1" x14ac:dyDescent="0.35">
      <c r="B9" s="28" t="s">
        <v>158</v>
      </c>
      <c r="C9" s="28" t="s">
        <v>23</v>
      </c>
      <c r="D9" s="60">
        <v>2</v>
      </c>
      <c r="E9" s="28" t="s">
        <v>22</v>
      </c>
      <c r="F9" s="219">
        <f>INDEX(Q2_Paeds,6,7)</f>
        <v>17</v>
      </c>
      <c r="G9" s="220">
        <f>INDEX(Q2_Paeds,6,8)</f>
        <v>0</v>
      </c>
      <c r="H9" s="207">
        <f>INDEX(Q2_Paeds,6,9)</f>
        <v>140</v>
      </c>
      <c r="I9" s="208">
        <f>IFERROR(H9/P9,0)</f>
        <v>0.19801980198019803</v>
      </c>
      <c r="J9" s="209">
        <f>INDEX(Q2_Paeds,6,10)</f>
        <v>132</v>
      </c>
      <c r="K9" s="208">
        <f>IFERROR(J9/P9,0)</f>
        <v>0.18670438472418671</v>
      </c>
      <c r="L9" s="209">
        <f>INDEX(Q2_Paeds,6,11)</f>
        <v>280</v>
      </c>
      <c r="M9" s="208">
        <f>IFERROR(L9/P9,0)</f>
        <v>0.39603960396039606</v>
      </c>
      <c r="N9" s="209">
        <f>INDEX(Q2_Paeds,6,12)</f>
        <v>155</v>
      </c>
      <c r="O9" s="208">
        <f>IFERROR(N9/P9,0)</f>
        <v>0.21923620933521923</v>
      </c>
      <c r="P9" s="210">
        <f>INDEX(Q2_Paeds,6,13)</f>
        <v>707</v>
      </c>
      <c r="Q9" s="211">
        <f>INDEX(Q2_Paeds,6,15)</f>
        <v>0</v>
      </c>
      <c r="R9" s="208">
        <f>IFERROR(Q9/Y9,0)</f>
        <v>0</v>
      </c>
      <c r="S9" s="209">
        <f>INDEX(Q2_Paeds,6,16)</f>
        <v>0</v>
      </c>
      <c r="T9" s="208">
        <f>IFERROR(S9/Y9,0)</f>
        <v>0</v>
      </c>
      <c r="U9" s="212">
        <f>INDEX(Q2_Paeds,6,17)</f>
        <v>0</v>
      </c>
      <c r="V9" s="208">
        <f>IFERROR(U9/Y9,0)</f>
        <v>0</v>
      </c>
      <c r="W9" s="209">
        <f>INDEX(Q2_Paeds,6,18)</f>
        <v>0</v>
      </c>
      <c r="X9" s="208">
        <f>IFERROR(W9/Y9,0)</f>
        <v>0</v>
      </c>
      <c r="Y9" s="210">
        <f>INDEX(Q2_Paeds,6,19)</f>
        <v>0</v>
      </c>
      <c r="Z9" s="221">
        <f>INDEX(Q2_Paeds,6,21)</f>
        <v>7.0000000000000007E-2</v>
      </c>
      <c r="AA9" s="222">
        <f>INDEX(Q2_Paeds,6,22)</f>
        <v>0</v>
      </c>
    </row>
    <row r="10" spans="1:28" s="8" customFormat="1" ht="21.75" customHeight="1" thickTop="1" thickBot="1" x14ac:dyDescent="0.35">
      <c r="B10" s="25" t="s">
        <v>157</v>
      </c>
      <c r="C10" s="25" t="s">
        <v>23</v>
      </c>
      <c r="D10" s="57">
        <v>3</v>
      </c>
      <c r="E10" s="25" t="s">
        <v>22</v>
      </c>
      <c r="F10" s="216">
        <f>INDEX(Q2_Paeds,5,7)</f>
        <v>30</v>
      </c>
      <c r="G10" s="223">
        <f>INDEX(Q2_Paeds,5,8)</f>
        <v>12</v>
      </c>
      <c r="H10" s="213">
        <f>INDEX(Q2_Paeds,5,9)</f>
        <v>29</v>
      </c>
      <c r="I10" s="203">
        <f>IFERROR(H10/P10,0)</f>
        <v>0.1657142857142857</v>
      </c>
      <c r="J10" s="204">
        <f>INDEX(Q2_Paeds,5,10)</f>
        <v>31</v>
      </c>
      <c r="K10" s="203">
        <f>IFERROR(J10/P10,0)</f>
        <v>0.17714285714285713</v>
      </c>
      <c r="L10" s="204">
        <f>INDEX(Q2_Paeds,5,11)</f>
        <v>60</v>
      </c>
      <c r="M10" s="203">
        <f>IFERROR(L10/P10,0)</f>
        <v>0.34285714285714286</v>
      </c>
      <c r="N10" s="204">
        <f>INDEX(Q2_Paeds,5,12)</f>
        <v>55</v>
      </c>
      <c r="O10" s="203">
        <f>IFERROR(N10/P10,0)</f>
        <v>0.31428571428571428</v>
      </c>
      <c r="P10" s="205">
        <f>INDEX(Q2_Paeds,5,13)</f>
        <v>175</v>
      </c>
      <c r="Q10" s="202">
        <f>INDEX(Q2_Paeds,5,15)</f>
        <v>58</v>
      </c>
      <c r="R10" s="203">
        <f>IFERROR(Q10/Y10,0)</f>
        <v>0.16246498599439776</v>
      </c>
      <c r="S10" s="204">
        <f>INDEX(Q2_Paeds,5,16)</f>
        <v>34</v>
      </c>
      <c r="T10" s="203">
        <f>IFERROR(S10/Y10,0)</f>
        <v>9.5238095238095233E-2</v>
      </c>
      <c r="U10" s="206">
        <f>INDEX(Q2_Paeds,5,17)</f>
        <v>140</v>
      </c>
      <c r="V10" s="203">
        <f>IFERROR(U10/Y10,0)</f>
        <v>0.39215686274509803</v>
      </c>
      <c r="W10" s="204">
        <f>INDEX(Q2_Paeds,5,18)</f>
        <v>125</v>
      </c>
      <c r="X10" s="203">
        <f>IFERROR(W10/Y10,0)</f>
        <v>0.35014005602240894</v>
      </c>
      <c r="Y10" s="205">
        <f>INDEX(Q2_Paeds,5,19)</f>
        <v>357</v>
      </c>
      <c r="Z10" s="217">
        <f>INDEX(Q2_Paeds,5,21)</f>
        <v>0.13</v>
      </c>
      <c r="AA10" s="218">
        <f>INDEX(Q2_Paeds,5,22)</f>
        <v>0.08</v>
      </c>
    </row>
    <row r="11" spans="1:28" s="8" customFormat="1" ht="21.75" customHeight="1" thickTop="1" thickBot="1" x14ac:dyDescent="0.35">
      <c r="B11" s="29" t="s">
        <v>159</v>
      </c>
      <c r="C11" s="29" t="s">
        <v>23</v>
      </c>
      <c r="D11" s="61">
        <v>3</v>
      </c>
      <c r="E11" s="29" t="s">
        <v>22</v>
      </c>
      <c r="F11" s="219">
        <f>INDEX(Q2_Paeds,7,7)</f>
        <v>0</v>
      </c>
      <c r="G11" s="220">
        <f>INDEX(Q2_Paeds,7,8)</f>
        <v>0</v>
      </c>
      <c r="H11" s="207">
        <f>INDEX(Q2_Paeds,7,9)</f>
        <v>16</v>
      </c>
      <c r="I11" s="208">
        <f t="shared" ref="I11:I25" si="0">IFERROR(H11/P11,0)</f>
        <v>1</v>
      </c>
      <c r="J11" s="209">
        <f>INDEX(Q2_Paeds,7,10)</f>
        <v>0</v>
      </c>
      <c r="K11" s="208">
        <f t="shared" ref="K11:K25" si="1">IFERROR(J11/P11,0)</f>
        <v>0</v>
      </c>
      <c r="L11" s="209">
        <f>INDEX(Q2_Paeds,7,11)</f>
        <v>0</v>
      </c>
      <c r="M11" s="208">
        <f t="shared" ref="M11:M25" si="2">IFERROR(L11/P11,0)</f>
        <v>0</v>
      </c>
      <c r="N11" s="209">
        <f>INDEX(Q2_Paeds,7,12)</f>
        <v>0</v>
      </c>
      <c r="O11" s="208">
        <f t="shared" ref="O11:O25" si="3">IFERROR(N11/P11,0)</f>
        <v>0</v>
      </c>
      <c r="P11" s="210">
        <f>INDEX(Q2_Paeds,7,13)</f>
        <v>16</v>
      </c>
      <c r="Q11" s="211">
        <f>INDEX(Q2_Paeds,7,15)</f>
        <v>0</v>
      </c>
      <c r="R11" s="208">
        <f t="shared" ref="R11:R25" si="4">IFERROR(Q11/Y11,0)</f>
        <v>0</v>
      </c>
      <c r="S11" s="209">
        <f>INDEX(Q2_Paeds,7,16)</f>
        <v>49</v>
      </c>
      <c r="T11" s="208">
        <f t="shared" ref="T11:T25" si="5">IFERROR(S11/Y11,0)</f>
        <v>0.26063829787234044</v>
      </c>
      <c r="U11" s="212">
        <f>INDEX(Q2_Paeds,7,17)</f>
        <v>111</v>
      </c>
      <c r="V11" s="208">
        <f t="shared" ref="V11:V25" si="6">IFERROR(U11/Y11,0)</f>
        <v>0.59042553191489366</v>
      </c>
      <c r="W11" s="209">
        <f>INDEX(Q2_Paeds,7,18)</f>
        <v>28</v>
      </c>
      <c r="X11" s="208">
        <f t="shared" ref="X11:X25" si="7">IFERROR(W11/Y11,0)</f>
        <v>0.14893617021276595</v>
      </c>
      <c r="Y11" s="210">
        <f>INDEX(Q2_Paeds,7,19)</f>
        <v>188</v>
      </c>
      <c r="Z11" s="221">
        <f>INDEX(Q2_Paeds,7,21)</f>
        <v>0.12</v>
      </c>
      <c r="AA11" s="222">
        <f>INDEX(Q2_Paeds,7,22)</f>
        <v>0.05</v>
      </c>
    </row>
    <row r="12" spans="1:28" s="8" customFormat="1" ht="21.75" customHeight="1" thickTop="1" thickBot="1" x14ac:dyDescent="0.35">
      <c r="B12" s="27" t="s">
        <v>160</v>
      </c>
      <c r="C12" s="27" t="s">
        <v>23</v>
      </c>
      <c r="D12" s="59">
        <v>3</v>
      </c>
      <c r="E12" s="27" t="s">
        <v>22</v>
      </c>
      <c r="F12" s="216">
        <f>INDEX(Q2_Paeds,8,7)</f>
        <v>13</v>
      </c>
      <c r="G12" s="223">
        <f>INDEX(Q2_Paeds,8,8)</f>
        <v>3</v>
      </c>
      <c r="H12" s="213">
        <f>INDEX(Q2_Paeds,8,9)</f>
        <v>1</v>
      </c>
      <c r="I12" s="203">
        <f t="shared" si="0"/>
        <v>1</v>
      </c>
      <c r="J12" s="204">
        <f>INDEX(Q2_Paeds,8,10)</f>
        <v>0</v>
      </c>
      <c r="K12" s="203">
        <f t="shared" si="1"/>
        <v>0</v>
      </c>
      <c r="L12" s="204">
        <f>INDEX(Q2_Paeds,8,11)</f>
        <v>0</v>
      </c>
      <c r="M12" s="203">
        <f t="shared" si="2"/>
        <v>0</v>
      </c>
      <c r="N12" s="204">
        <f>INDEX(Q2_Paeds,8,12)</f>
        <v>0</v>
      </c>
      <c r="O12" s="203">
        <f t="shared" si="3"/>
        <v>0</v>
      </c>
      <c r="P12" s="205">
        <f>INDEX(Q2_Paeds,8,13)</f>
        <v>1</v>
      </c>
      <c r="Q12" s="202">
        <f>INDEX(Q2_Paeds,8,15)</f>
        <v>1</v>
      </c>
      <c r="R12" s="203">
        <f t="shared" si="4"/>
        <v>9.0909090909090912E-2</v>
      </c>
      <c r="S12" s="204">
        <f>INDEX(Q2_Paeds,8,16)</f>
        <v>1</v>
      </c>
      <c r="T12" s="203">
        <f t="shared" si="5"/>
        <v>9.0909090909090912E-2</v>
      </c>
      <c r="U12" s="206">
        <f>INDEX(Q2_Paeds,8,17)</f>
        <v>3</v>
      </c>
      <c r="V12" s="203">
        <f t="shared" si="6"/>
        <v>0.27272727272727271</v>
      </c>
      <c r="W12" s="204">
        <f>INDEX(Q2_Paeds,8,18)</f>
        <v>6</v>
      </c>
      <c r="X12" s="203">
        <f t="shared" si="7"/>
        <v>0.54545454545454541</v>
      </c>
      <c r="Y12" s="205">
        <f>INDEX(Q2_Paeds,8,19)</f>
        <v>11</v>
      </c>
      <c r="Z12" s="217">
        <f>INDEX(Q2_Paeds,8,21)</f>
        <v>0.22</v>
      </c>
      <c r="AA12" s="218">
        <f>INDEX(Q2_Paeds,8,22)</f>
        <v>0.37</v>
      </c>
    </row>
    <row r="13" spans="1:28" s="8" customFormat="1" ht="21.75" customHeight="1" thickTop="1" thickBot="1" x14ac:dyDescent="0.35">
      <c r="B13" s="28" t="s">
        <v>161</v>
      </c>
      <c r="C13" s="28" t="s">
        <v>23</v>
      </c>
      <c r="D13" s="60">
        <v>3</v>
      </c>
      <c r="E13" s="28" t="s">
        <v>22</v>
      </c>
      <c r="F13" s="219">
        <f>INDEX(Q2_Paeds,9,7)</f>
        <v>14</v>
      </c>
      <c r="G13" s="220">
        <f>INDEX(Q2_Paeds,9,8)</f>
        <v>14</v>
      </c>
      <c r="H13" s="207">
        <f>INDEX(Q2_Paeds,9,9)</f>
        <v>1</v>
      </c>
      <c r="I13" s="208">
        <f t="shared" si="0"/>
        <v>0.1</v>
      </c>
      <c r="J13" s="209">
        <f>INDEX(Q2_Paeds,9,10)</f>
        <v>1</v>
      </c>
      <c r="K13" s="208">
        <f t="shared" si="1"/>
        <v>0.1</v>
      </c>
      <c r="L13" s="209">
        <f>INDEX(Q2_Paeds,9,11)</f>
        <v>8</v>
      </c>
      <c r="M13" s="208">
        <f t="shared" si="2"/>
        <v>0.8</v>
      </c>
      <c r="N13" s="209">
        <f>INDEX(Q2_Paeds,9,12)</f>
        <v>0</v>
      </c>
      <c r="O13" s="208">
        <f t="shared" si="3"/>
        <v>0</v>
      </c>
      <c r="P13" s="210">
        <f>INDEX(Q2_Paeds,9,13)</f>
        <v>10</v>
      </c>
      <c r="Q13" s="211">
        <f>INDEX(Q2_Paeds,9,15)</f>
        <v>2</v>
      </c>
      <c r="R13" s="208">
        <f t="shared" si="4"/>
        <v>0.22222222222222221</v>
      </c>
      <c r="S13" s="209">
        <f>INDEX(Q2_Paeds,9,16)</f>
        <v>1</v>
      </c>
      <c r="T13" s="208">
        <f t="shared" si="5"/>
        <v>0.1111111111111111</v>
      </c>
      <c r="U13" s="212">
        <f>INDEX(Q2_Paeds,9,17)</f>
        <v>5</v>
      </c>
      <c r="V13" s="208">
        <f t="shared" si="6"/>
        <v>0.55555555555555558</v>
      </c>
      <c r="W13" s="209">
        <f>INDEX(Q2_Paeds,9,18)</f>
        <v>1</v>
      </c>
      <c r="X13" s="208">
        <f t="shared" si="7"/>
        <v>0.1111111111111111</v>
      </c>
      <c r="Y13" s="210">
        <f>INDEX(Q2_Paeds,9,19)</f>
        <v>9</v>
      </c>
      <c r="Z13" s="221">
        <f>INDEX(Q2_Paeds,9,21)</f>
        <v>0.21</v>
      </c>
      <c r="AA13" s="222">
        <f>INDEX(Q2_Paeds,9,22)</f>
        <v>0.23</v>
      </c>
    </row>
    <row r="14" spans="1:28" s="8" customFormat="1" ht="21.75" customHeight="1" thickTop="1" thickBot="1" x14ac:dyDescent="0.35">
      <c r="B14" s="27" t="s">
        <v>165</v>
      </c>
      <c r="C14" s="27" t="s">
        <v>23</v>
      </c>
      <c r="D14" s="59">
        <v>3</v>
      </c>
      <c r="E14" s="27" t="s">
        <v>22</v>
      </c>
      <c r="F14" s="216">
        <f>INDEX(Q2_Paeds,10,7)</f>
        <v>4</v>
      </c>
      <c r="G14" s="223">
        <f>INDEX(Q2_Paeds,10,8)</f>
        <v>52</v>
      </c>
      <c r="H14" s="213">
        <f>INDEX(Q2_Paeds,10,9)</f>
        <v>0</v>
      </c>
      <c r="I14" s="203">
        <f t="shared" si="0"/>
        <v>0</v>
      </c>
      <c r="J14" s="204">
        <f>INDEX(Q2_Paeds,10,10)</f>
        <v>0</v>
      </c>
      <c r="K14" s="203">
        <f t="shared" si="1"/>
        <v>0</v>
      </c>
      <c r="L14" s="204">
        <f>INDEX(Q2_Paeds,10,11)</f>
        <v>0</v>
      </c>
      <c r="M14" s="203">
        <f t="shared" si="2"/>
        <v>0</v>
      </c>
      <c r="N14" s="204">
        <f>INDEX(Q2_Paeds,10,12)</f>
        <v>0</v>
      </c>
      <c r="O14" s="203">
        <f t="shared" si="3"/>
        <v>0</v>
      </c>
      <c r="P14" s="205">
        <f>INDEX(Q2_Paeds,10,13)</f>
        <v>0</v>
      </c>
      <c r="Q14" s="202">
        <f>INDEX(Q2_Paeds,10,15)</f>
        <v>19</v>
      </c>
      <c r="R14" s="203">
        <f t="shared" si="4"/>
        <v>0.30645161290322581</v>
      </c>
      <c r="S14" s="204">
        <f>INDEX(Q2_Paeds,10,16)</f>
        <v>13</v>
      </c>
      <c r="T14" s="203">
        <f t="shared" si="5"/>
        <v>0.20967741935483872</v>
      </c>
      <c r="U14" s="206">
        <f>INDEX(Q2_Paeds,10,17)</f>
        <v>30</v>
      </c>
      <c r="V14" s="203">
        <f t="shared" si="6"/>
        <v>0.4838709677419355</v>
      </c>
      <c r="W14" s="204">
        <f>INDEX(Q2_Paeds,10,18)</f>
        <v>0</v>
      </c>
      <c r="X14" s="203">
        <f t="shared" si="7"/>
        <v>0</v>
      </c>
      <c r="Y14" s="205">
        <f>INDEX(Q2_Paeds,10,19)</f>
        <v>62</v>
      </c>
      <c r="Z14" s="217">
        <f>INDEX(Q2_Paeds,10,21)</f>
        <v>0</v>
      </c>
      <c r="AA14" s="218">
        <f>INDEX(Q2_Paeds,10,22)</f>
        <v>0</v>
      </c>
    </row>
    <row r="15" spans="1:28" s="8" customFormat="1" ht="21.75" customHeight="1" thickTop="1" thickBot="1" x14ac:dyDescent="0.35">
      <c r="B15" s="28" t="s">
        <v>166</v>
      </c>
      <c r="C15" s="28" t="s">
        <v>23</v>
      </c>
      <c r="D15" s="60">
        <v>3</v>
      </c>
      <c r="E15" s="28" t="s">
        <v>22</v>
      </c>
      <c r="F15" s="219">
        <f>INDEX(Q2_Paeds,11,7)</f>
        <v>10</v>
      </c>
      <c r="G15" s="220">
        <f>INDEX(Q2_Paeds,11,8)</f>
        <v>20</v>
      </c>
      <c r="H15" s="207">
        <f>INDEX(Q2_Paeds,11,9)</f>
        <v>9</v>
      </c>
      <c r="I15" s="208">
        <f t="shared" si="0"/>
        <v>0.9</v>
      </c>
      <c r="J15" s="209">
        <f>INDEX(Q2_Paeds,11,10)</f>
        <v>1</v>
      </c>
      <c r="K15" s="208">
        <f t="shared" si="1"/>
        <v>0.1</v>
      </c>
      <c r="L15" s="209">
        <f>INDEX(Q2_Paeds,11,11)</f>
        <v>0</v>
      </c>
      <c r="M15" s="208">
        <f t="shared" si="2"/>
        <v>0</v>
      </c>
      <c r="N15" s="209">
        <f>INDEX(Q2_Paeds,11,12)</f>
        <v>0</v>
      </c>
      <c r="O15" s="208">
        <f t="shared" si="3"/>
        <v>0</v>
      </c>
      <c r="P15" s="210">
        <f>INDEX(Q2_Paeds,11,13)</f>
        <v>10</v>
      </c>
      <c r="Q15" s="211">
        <f>INDEX(Q2_Paeds,11,15)</f>
        <v>26</v>
      </c>
      <c r="R15" s="208">
        <f t="shared" si="4"/>
        <v>0.52</v>
      </c>
      <c r="S15" s="209">
        <f>INDEX(Q2_Paeds,11,16)</f>
        <v>18</v>
      </c>
      <c r="T15" s="208">
        <f t="shared" si="5"/>
        <v>0.36</v>
      </c>
      <c r="U15" s="212">
        <f>INDEX(Q2_Paeds,11,17)</f>
        <v>6</v>
      </c>
      <c r="V15" s="208">
        <f t="shared" si="6"/>
        <v>0.12</v>
      </c>
      <c r="W15" s="209">
        <f>INDEX(Q2_Paeds,11,18)</f>
        <v>0</v>
      </c>
      <c r="X15" s="208">
        <f t="shared" si="7"/>
        <v>0</v>
      </c>
      <c r="Y15" s="210">
        <f>INDEX(Q2_Paeds,11,19)</f>
        <v>50</v>
      </c>
      <c r="Z15" s="221">
        <f>INDEX(Q2_Paeds,11,21)</f>
        <v>0</v>
      </c>
      <c r="AA15" s="222">
        <f>INDEX(Q2_Paeds,11,22)</f>
        <v>0</v>
      </c>
    </row>
    <row r="16" spans="1:28" s="8" customFormat="1" ht="21.75" customHeight="1" thickTop="1" thickBot="1" x14ac:dyDescent="0.35">
      <c r="B16" s="30" t="s">
        <v>162</v>
      </c>
      <c r="C16" s="30" t="s">
        <v>23</v>
      </c>
      <c r="D16" s="62">
        <v>3</v>
      </c>
      <c r="E16" s="30" t="s">
        <v>22</v>
      </c>
      <c r="F16" s="216">
        <f>INDEX(Q2_Paeds,12,7)</f>
        <v>6.33</v>
      </c>
      <c r="G16" s="223">
        <f>INDEX(Q2_Paeds,12,8)</f>
        <v>9.2899999999999991</v>
      </c>
      <c r="H16" s="213">
        <f>INDEX(Q2_Paeds,12,9)</f>
        <v>24</v>
      </c>
      <c r="I16" s="203">
        <f t="shared" si="0"/>
        <v>0.64864864864864868</v>
      </c>
      <c r="J16" s="204">
        <f>INDEX(Q2_Paeds,12,10)</f>
        <v>10</v>
      </c>
      <c r="K16" s="203">
        <f t="shared" si="1"/>
        <v>0.27027027027027029</v>
      </c>
      <c r="L16" s="204">
        <f>INDEX(Q2_Paeds,12,11)</f>
        <v>2</v>
      </c>
      <c r="M16" s="203">
        <f t="shared" si="2"/>
        <v>5.4054054054054057E-2</v>
      </c>
      <c r="N16" s="204">
        <f>INDEX(Q2_Paeds,12,12)</f>
        <v>1</v>
      </c>
      <c r="O16" s="203">
        <f t="shared" si="3"/>
        <v>2.7027027027027029E-2</v>
      </c>
      <c r="P16" s="205">
        <f>INDEX(Q2_Paeds,12,13)</f>
        <v>37</v>
      </c>
      <c r="Q16" s="202">
        <f>INDEX(Q2_Paeds,12,15)</f>
        <v>26</v>
      </c>
      <c r="R16" s="203">
        <f t="shared" si="4"/>
        <v>0.23008849557522124</v>
      </c>
      <c r="S16" s="204">
        <f>INDEX(Q2_Paeds,12,16)</f>
        <v>39</v>
      </c>
      <c r="T16" s="203">
        <f t="shared" si="5"/>
        <v>0.34513274336283184</v>
      </c>
      <c r="U16" s="206">
        <f>INDEX(Q2_Paeds,12,17)</f>
        <v>48</v>
      </c>
      <c r="V16" s="203">
        <f t="shared" si="6"/>
        <v>0.4247787610619469</v>
      </c>
      <c r="W16" s="204">
        <f>INDEX(Q2_Paeds,12,18)</f>
        <v>0</v>
      </c>
      <c r="X16" s="203">
        <f t="shared" si="7"/>
        <v>0</v>
      </c>
      <c r="Y16" s="205">
        <f>INDEX(Q2_Paeds,12,19)</f>
        <v>113</v>
      </c>
      <c r="Z16" s="217">
        <f>INDEX(Q2_Paeds,12,21)</f>
        <v>0.06</v>
      </c>
      <c r="AA16" s="218">
        <f>INDEX(Q2_Paeds,12,22)</f>
        <v>0</v>
      </c>
    </row>
    <row r="17" spans="2:27" s="8" customFormat="1" ht="21.75" customHeight="1" thickTop="1" thickBot="1" x14ac:dyDescent="0.35">
      <c r="B17" s="28" t="s">
        <v>58</v>
      </c>
      <c r="C17" s="28" t="s">
        <v>23</v>
      </c>
      <c r="D17" s="60">
        <v>3</v>
      </c>
      <c r="E17" s="28" t="s">
        <v>21</v>
      </c>
      <c r="F17" s="219" t="str">
        <f>INDEX(Q2_Paeds,13,7)</f>
        <v>No data</v>
      </c>
      <c r="G17" s="220" t="str">
        <f>INDEX(Q2_Paeds,13,8)</f>
        <v>No data</v>
      </c>
      <c r="H17" s="207" t="str">
        <f>INDEX(Q2_Paeds,13,9)</f>
        <v>No data</v>
      </c>
      <c r="I17" s="208">
        <f t="shared" si="0"/>
        <v>0</v>
      </c>
      <c r="J17" s="209" t="str">
        <f>INDEX(Q2_Paeds,13,10)</f>
        <v>No data</v>
      </c>
      <c r="K17" s="208">
        <f t="shared" si="1"/>
        <v>0</v>
      </c>
      <c r="L17" s="209" t="str">
        <f>INDEX(Q2_Paeds,13,11)</f>
        <v>No data</v>
      </c>
      <c r="M17" s="208">
        <f t="shared" si="2"/>
        <v>0</v>
      </c>
      <c r="N17" s="209" t="str">
        <f>INDEX(Q2_Paeds,13,12)</f>
        <v>No data</v>
      </c>
      <c r="O17" s="208">
        <f t="shared" si="3"/>
        <v>0</v>
      </c>
      <c r="P17" s="210" t="str">
        <f>INDEX(Q2_Paeds,13,13)</f>
        <v>No data</v>
      </c>
      <c r="Q17" s="211" t="str">
        <f>INDEX(Q2_Paeds,13,15)</f>
        <v>No data</v>
      </c>
      <c r="R17" s="208">
        <f t="shared" si="4"/>
        <v>0</v>
      </c>
      <c r="S17" s="209" t="str">
        <f>INDEX(Q2_Paeds,13,16)</f>
        <v>No data</v>
      </c>
      <c r="T17" s="208">
        <f t="shared" si="5"/>
        <v>0</v>
      </c>
      <c r="U17" s="212" t="str">
        <f>INDEX(Q2_Paeds,13,17)</f>
        <v>No data</v>
      </c>
      <c r="V17" s="208">
        <f t="shared" si="6"/>
        <v>0</v>
      </c>
      <c r="W17" s="209" t="str">
        <f>INDEX(Q2_Paeds,13,18)</f>
        <v>No data</v>
      </c>
      <c r="X17" s="208">
        <f t="shared" si="7"/>
        <v>0</v>
      </c>
      <c r="Y17" s="210" t="str">
        <f>INDEX(Q2_Paeds,13,19)</f>
        <v>No data</v>
      </c>
      <c r="Z17" s="221" t="str">
        <f>INDEX(Q2_Paeds,13,21)</f>
        <v>No data</v>
      </c>
      <c r="AA17" s="222" t="str">
        <f>INDEX(Q2_Paeds,13,22)</f>
        <v>No data</v>
      </c>
    </row>
    <row r="18" spans="2:27" s="8" customFormat="1" ht="21.75" customHeight="1" thickTop="1" thickBot="1" x14ac:dyDescent="0.35">
      <c r="B18" s="27" t="s">
        <v>59</v>
      </c>
      <c r="C18" s="27" t="s">
        <v>23</v>
      </c>
      <c r="D18" s="59">
        <v>3</v>
      </c>
      <c r="E18" s="27" t="s">
        <v>21</v>
      </c>
      <c r="F18" s="216">
        <f>INDEX(Q2_Paeds,14,7)</f>
        <v>39</v>
      </c>
      <c r="G18" s="223">
        <f>INDEX(Q2_Paeds,14,8)</f>
        <v>6</v>
      </c>
      <c r="H18" s="213">
        <f>INDEX(Q2_Paeds,14,9)</f>
        <v>0</v>
      </c>
      <c r="I18" s="203">
        <f t="shared" si="0"/>
        <v>0</v>
      </c>
      <c r="J18" s="204">
        <f>INDEX(Q2_Paeds,14,10)</f>
        <v>0</v>
      </c>
      <c r="K18" s="203">
        <f t="shared" si="1"/>
        <v>0</v>
      </c>
      <c r="L18" s="204">
        <f>INDEX(Q2_Paeds,14,11)</f>
        <v>1</v>
      </c>
      <c r="M18" s="203">
        <f t="shared" si="2"/>
        <v>1</v>
      </c>
      <c r="N18" s="204">
        <f>INDEX(Q2_Paeds,14,12)</f>
        <v>0</v>
      </c>
      <c r="O18" s="203">
        <f t="shared" si="3"/>
        <v>0</v>
      </c>
      <c r="P18" s="205">
        <f>INDEX(Q2_Paeds,14,13)</f>
        <v>1</v>
      </c>
      <c r="Q18" s="202">
        <f>INDEX(Q2_Paeds,14,15)</f>
        <v>0</v>
      </c>
      <c r="R18" s="203">
        <f t="shared" si="4"/>
        <v>0</v>
      </c>
      <c r="S18" s="204">
        <f>INDEX(Q2_Paeds,14,16)</f>
        <v>0</v>
      </c>
      <c r="T18" s="203">
        <f t="shared" si="5"/>
        <v>0</v>
      </c>
      <c r="U18" s="206">
        <f>INDEX(Q2_Paeds,14,17)</f>
        <v>0</v>
      </c>
      <c r="V18" s="203">
        <f t="shared" si="6"/>
        <v>0</v>
      </c>
      <c r="W18" s="204">
        <f>INDEX(Q2_Paeds,14,18)</f>
        <v>0</v>
      </c>
      <c r="X18" s="203">
        <f t="shared" si="7"/>
        <v>0</v>
      </c>
      <c r="Y18" s="205">
        <f>INDEX(Q2_Paeds,14,19)</f>
        <v>0</v>
      </c>
      <c r="Z18" s="217">
        <f>INDEX(Q2_Paeds,14,21)</f>
        <v>0.05</v>
      </c>
      <c r="AA18" s="218">
        <f>INDEX(Q2_Paeds,14,22)</f>
        <v>0.05</v>
      </c>
    </row>
    <row r="19" spans="2:27" s="8" customFormat="1" ht="21.75" customHeight="1" thickTop="1" thickBot="1" x14ac:dyDescent="0.35">
      <c r="B19" s="28" t="s">
        <v>60</v>
      </c>
      <c r="C19" s="28" t="s">
        <v>23</v>
      </c>
      <c r="D19" s="60">
        <v>3</v>
      </c>
      <c r="E19" s="28" t="s">
        <v>21</v>
      </c>
      <c r="F19" s="219">
        <f>INDEX(Q2_Paeds,16,7)</f>
        <v>19</v>
      </c>
      <c r="G19" s="220">
        <f>INDEX(Q2_Paeds,16,8)</f>
        <v>15</v>
      </c>
      <c r="H19" s="207">
        <f>INDEX(Q2_Paeds,16,9)</f>
        <v>55</v>
      </c>
      <c r="I19" s="208">
        <f t="shared" si="0"/>
        <v>0.33950617283950618</v>
      </c>
      <c r="J19" s="209">
        <f>INDEX(Q2_Paeds,16,10)</f>
        <v>37</v>
      </c>
      <c r="K19" s="208">
        <f t="shared" si="1"/>
        <v>0.22839506172839505</v>
      </c>
      <c r="L19" s="209">
        <f>INDEX(Q2_Paeds,16,11)</f>
        <v>64</v>
      </c>
      <c r="M19" s="208">
        <f t="shared" si="2"/>
        <v>0.39506172839506171</v>
      </c>
      <c r="N19" s="209">
        <f>INDEX(Q2_Paeds,16,12)</f>
        <v>6</v>
      </c>
      <c r="O19" s="208">
        <f t="shared" si="3"/>
        <v>3.7037037037037035E-2</v>
      </c>
      <c r="P19" s="210">
        <f>INDEX(Q2_Paeds,16,13)</f>
        <v>162</v>
      </c>
      <c r="Q19" s="211">
        <f>INDEX(Q2_Paeds,16,15)</f>
        <v>29</v>
      </c>
      <c r="R19" s="208">
        <f t="shared" si="4"/>
        <v>0.23966942148760331</v>
      </c>
      <c r="S19" s="209">
        <f>INDEX(Q2_Paeds,16,16)</f>
        <v>26</v>
      </c>
      <c r="T19" s="208">
        <f t="shared" si="5"/>
        <v>0.21487603305785125</v>
      </c>
      <c r="U19" s="212">
        <f>INDEX(Q2_Paeds,16,17)</f>
        <v>48</v>
      </c>
      <c r="V19" s="208">
        <f t="shared" si="6"/>
        <v>0.39669421487603307</v>
      </c>
      <c r="W19" s="209">
        <f>INDEX(Q2_Paeds,16,18)</f>
        <v>18</v>
      </c>
      <c r="X19" s="208">
        <f t="shared" si="7"/>
        <v>0.1487603305785124</v>
      </c>
      <c r="Y19" s="210">
        <f>INDEX(Q2_Paeds,16,19)</f>
        <v>121</v>
      </c>
      <c r="Z19" s="221">
        <f>INDEX(Q2_Paeds,16,21)</f>
        <v>0.08</v>
      </c>
      <c r="AA19" s="222">
        <f>INDEX(Q2_Paeds,16,22)</f>
        <v>0.05</v>
      </c>
    </row>
    <row r="20" spans="2:27" s="8" customFormat="1" ht="21.75" customHeight="1" thickTop="1" thickBot="1" x14ac:dyDescent="0.35">
      <c r="B20" s="27" t="s">
        <v>56</v>
      </c>
      <c r="C20" s="27" t="s">
        <v>23</v>
      </c>
      <c r="D20" s="59">
        <v>3</v>
      </c>
      <c r="E20" s="27" t="s">
        <v>21</v>
      </c>
      <c r="F20" s="216" t="str">
        <f>INDEX(Q2_Paeds,17,7)</f>
        <v>No data</v>
      </c>
      <c r="G20" s="223" t="str">
        <f>INDEX(Q2_Paeds,17,8)</f>
        <v>No data</v>
      </c>
      <c r="H20" s="213" t="str">
        <f>INDEX(Q2_Paeds,17,9)</f>
        <v>No data</v>
      </c>
      <c r="I20" s="203">
        <f t="shared" si="0"/>
        <v>0</v>
      </c>
      <c r="J20" s="204" t="str">
        <f>INDEX(Q2_Paeds,17,10)</f>
        <v>No data</v>
      </c>
      <c r="K20" s="203">
        <f t="shared" si="1"/>
        <v>0</v>
      </c>
      <c r="L20" s="204" t="str">
        <f>INDEX(Q2_Paeds,17,11)</f>
        <v>No data</v>
      </c>
      <c r="M20" s="203">
        <f t="shared" si="2"/>
        <v>0</v>
      </c>
      <c r="N20" s="204" t="str">
        <f>INDEX(Q2_Paeds,17,12)</f>
        <v>No data</v>
      </c>
      <c r="O20" s="203">
        <f t="shared" si="3"/>
        <v>0</v>
      </c>
      <c r="P20" s="205" t="str">
        <f>INDEX(Q2_Paeds,17,13)</f>
        <v>No data</v>
      </c>
      <c r="Q20" s="202" t="str">
        <f>INDEX(Q2_Paeds,17,15)</f>
        <v>No data</v>
      </c>
      <c r="R20" s="203">
        <f t="shared" si="4"/>
        <v>0</v>
      </c>
      <c r="S20" s="204" t="str">
        <f>INDEX(Q2_Paeds,17,16)</f>
        <v>No data</v>
      </c>
      <c r="T20" s="203">
        <f t="shared" si="5"/>
        <v>0</v>
      </c>
      <c r="U20" s="206" t="str">
        <f>INDEX(Q2_Paeds,17,17)</f>
        <v>No data</v>
      </c>
      <c r="V20" s="203">
        <f t="shared" si="6"/>
        <v>0</v>
      </c>
      <c r="W20" s="204" t="str">
        <f>INDEX(Q2_Paeds,17,18)</f>
        <v>No data</v>
      </c>
      <c r="X20" s="203">
        <f t="shared" si="7"/>
        <v>0</v>
      </c>
      <c r="Y20" s="205" t="str">
        <f>INDEX(Q2_Paeds,17,19)</f>
        <v>No data</v>
      </c>
      <c r="Z20" s="217" t="str">
        <f>INDEX(Q2_Paeds,17,21)</f>
        <v>No data</v>
      </c>
      <c r="AA20" s="218" t="str">
        <f>INDEX(Q2_Paeds,17,22)</f>
        <v>No data</v>
      </c>
    </row>
    <row r="21" spans="2:27" s="8" customFormat="1" ht="21.75" customHeight="1" thickTop="1" thickBot="1" x14ac:dyDescent="0.35">
      <c r="B21" s="28" t="s">
        <v>61</v>
      </c>
      <c r="C21" s="28" t="s">
        <v>23</v>
      </c>
      <c r="D21" s="60">
        <v>3</v>
      </c>
      <c r="E21" s="28" t="s">
        <v>21</v>
      </c>
      <c r="F21" s="219" t="str">
        <f>INDEX(Q2_Paeds,18,7)</f>
        <v>No data</v>
      </c>
      <c r="G21" s="220" t="str">
        <f>INDEX(Q2_Paeds,18,8)</f>
        <v>No data</v>
      </c>
      <c r="H21" s="207" t="str">
        <f>INDEX(Q2_Paeds,18,9)</f>
        <v>No data</v>
      </c>
      <c r="I21" s="208">
        <f t="shared" si="0"/>
        <v>0</v>
      </c>
      <c r="J21" s="209" t="str">
        <f>INDEX(Q2_Paeds,18,10)</f>
        <v>No data</v>
      </c>
      <c r="K21" s="208">
        <f t="shared" si="1"/>
        <v>0</v>
      </c>
      <c r="L21" s="209" t="str">
        <f>INDEX(Q2_Paeds,18,11)</f>
        <v>No data</v>
      </c>
      <c r="M21" s="208">
        <f t="shared" si="2"/>
        <v>0</v>
      </c>
      <c r="N21" s="209" t="str">
        <f>INDEX(Q2_Paeds,18,12)</f>
        <v>No data</v>
      </c>
      <c r="O21" s="208">
        <f t="shared" si="3"/>
        <v>0</v>
      </c>
      <c r="P21" s="210" t="str">
        <f>INDEX(Q2_Paeds,18,13)</f>
        <v>No data</v>
      </c>
      <c r="Q21" s="211" t="str">
        <f>INDEX(Q2_Paeds,18,15)</f>
        <v>No data</v>
      </c>
      <c r="R21" s="208">
        <f t="shared" si="4"/>
        <v>0</v>
      </c>
      <c r="S21" s="209" t="str">
        <f>INDEX(Q2_Paeds,18,16)</f>
        <v>No data</v>
      </c>
      <c r="T21" s="208">
        <f t="shared" si="5"/>
        <v>0</v>
      </c>
      <c r="U21" s="212" t="str">
        <f>INDEX(Q2_Paeds,18,17)</f>
        <v>No data</v>
      </c>
      <c r="V21" s="208">
        <f t="shared" si="6"/>
        <v>0</v>
      </c>
      <c r="W21" s="209" t="str">
        <f>INDEX(Q2_Paeds,18,18)</f>
        <v>No data</v>
      </c>
      <c r="X21" s="208">
        <f t="shared" si="7"/>
        <v>0</v>
      </c>
      <c r="Y21" s="210" t="str">
        <f>INDEX(Q2_Paeds,18,19)</f>
        <v>No data</v>
      </c>
      <c r="Z21" s="221" t="str">
        <f>INDEX(Q2_Paeds,18,21)</f>
        <v>No data</v>
      </c>
      <c r="AA21" s="222" t="str">
        <f>INDEX(Q2_Paeds,18,22)</f>
        <v>No data</v>
      </c>
    </row>
    <row r="22" spans="2:27" s="8" customFormat="1" ht="21.75" customHeight="1" thickTop="1" thickBot="1" x14ac:dyDescent="0.35">
      <c r="B22" s="30" t="s">
        <v>52</v>
      </c>
      <c r="C22" s="30" t="s">
        <v>23</v>
      </c>
      <c r="D22" s="62">
        <v>3</v>
      </c>
      <c r="E22" s="30" t="s">
        <v>21</v>
      </c>
      <c r="F22" s="216">
        <f>INDEX(Q2_Paeds,19,7)</f>
        <v>0</v>
      </c>
      <c r="G22" s="223">
        <f>INDEX(Q2_Paeds,19,8)</f>
        <v>0</v>
      </c>
      <c r="H22" s="213">
        <f>INDEX(Q2_Paeds,19,9)</f>
        <v>3</v>
      </c>
      <c r="I22" s="203">
        <f t="shared" si="0"/>
        <v>1</v>
      </c>
      <c r="J22" s="204">
        <f>INDEX(Q2_Paeds,19,10)</f>
        <v>0</v>
      </c>
      <c r="K22" s="203">
        <f t="shared" si="1"/>
        <v>0</v>
      </c>
      <c r="L22" s="204">
        <f>INDEX(Q2_Paeds,19,11)</f>
        <v>0</v>
      </c>
      <c r="M22" s="203">
        <f t="shared" si="2"/>
        <v>0</v>
      </c>
      <c r="N22" s="204">
        <f>INDEX(Q2_Paeds,19,12)</f>
        <v>0</v>
      </c>
      <c r="O22" s="203">
        <f t="shared" si="3"/>
        <v>0</v>
      </c>
      <c r="P22" s="205">
        <f>INDEX(Q2_Paeds,19,13)</f>
        <v>3</v>
      </c>
      <c r="Q22" s="202">
        <f>INDEX(Q2_Paeds,19,15)</f>
        <v>31</v>
      </c>
      <c r="R22" s="203">
        <f t="shared" si="4"/>
        <v>0.46268656716417911</v>
      </c>
      <c r="S22" s="204">
        <f>INDEX(Q2_Paeds,19,16)</f>
        <v>36</v>
      </c>
      <c r="T22" s="214">
        <f t="shared" si="5"/>
        <v>0.53731343283582089</v>
      </c>
      <c r="U22" s="206">
        <f>INDEX(Q2_Paeds,19,17)</f>
        <v>0</v>
      </c>
      <c r="V22" s="203">
        <f t="shared" si="6"/>
        <v>0</v>
      </c>
      <c r="W22" s="204">
        <f>INDEX(Q2_Paeds,19,18)</f>
        <v>0</v>
      </c>
      <c r="X22" s="203">
        <f t="shared" si="7"/>
        <v>0</v>
      </c>
      <c r="Y22" s="205">
        <f>INDEX(Q2_Paeds,19,19)</f>
        <v>67</v>
      </c>
      <c r="Z22" s="217">
        <f>INDEX(Q2_Paeds,19,21)</f>
        <v>0</v>
      </c>
      <c r="AA22" s="218">
        <f>INDEX(Q2_Paeds,19,22)</f>
        <v>0</v>
      </c>
    </row>
    <row r="23" spans="2:27" s="8" customFormat="1" ht="21.75" customHeight="1" thickTop="1" thickBot="1" x14ac:dyDescent="0.35">
      <c r="B23" s="31" t="s">
        <v>57</v>
      </c>
      <c r="C23" s="31" t="s">
        <v>23</v>
      </c>
      <c r="D23" s="63">
        <v>3</v>
      </c>
      <c r="E23" s="31" t="s">
        <v>21</v>
      </c>
      <c r="F23" s="219">
        <f>INDEX(Q2_Paeds,20,7)</f>
        <v>46</v>
      </c>
      <c r="G23" s="220">
        <f>INDEX(Q2_Paeds,20,8)</f>
        <v>46</v>
      </c>
      <c r="H23" s="211">
        <f>INDEX(Q2_Paeds,20,9)</f>
        <v>37</v>
      </c>
      <c r="I23" s="208">
        <f t="shared" si="0"/>
        <v>0.37</v>
      </c>
      <c r="J23" s="209">
        <f>INDEX(Q2_Paeds,20,10)</f>
        <v>63</v>
      </c>
      <c r="K23" s="208">
        <f t="shared" si="1"/>
        <v>0.63</v>
      </c>
      <c r="L23" s="209">
        <f>INDEX(Q2_Paeds,20,11)</f>
        <v>0</v>
      </c>
      <c r="M23" s="208">
        <f t="shared" si="2"/>
        <v>0</v>
      </c>
      <c r="N23" s="209">
        <f>INDEX(Q2_Paeds,20,12)</f>
        <v>0</v>
      </c>
      <c r="O23" s="208">
        <f t="shared" si="3"/>
        <v>0</v>
      </c>
      <c r="P23" s="210">
        <f>INDEX(Q2_Paeds,20,13)</f>
        <v>100</v>
      </c>
      <c r="Q23" s="211">
        <f>INDEX(Q2_Paeds,20,15)</f>
        <v>22</v>
      </c>
      <c r="R23" s="208">
        <f t="shared" si="4"/>
        <v>0.32835820895522388</v>
      </c>
      <c r="S23" s="209">
        <f>INDEX(Q2_Paeds,20,16)</f>
        <v>42</v>
      </c>
      <c r="T23" s="208">
        <f t="shared" si="5"/>
        <v>0.62686567164179108</v>
      </c>
      <c r="U23" s="215">
        <f>INDEX(Q2_Paeds,20,17)</f>
        <v>3</v>
      </c>
      <c r="V23" s="208">
        <f t="shared" si="6"/>
        <v>4.4776119402985072E-2</v>
      </c>
      <c r="W23" s="209">
        <f>INDEX(Q2_Paeds,20,18)</f>
        <v>0</v>
      </c>
      <c r="X23" s="208">
        <f t="shared" si="7"/>
        <v>0</v>
      </c>
      <c r="Y23" s="210">
        <f>INDEX(Q2_Paeds,20,19)</f>
        <v>67</v>
      </c>
      <c r="Z23" s="221">
        <f>INDEX(Q2_Paeds,20,21)</f>
        <v>0.08</v>
      </c>
      <c r="AA23" s="222">
        <f>INDEX(Q2_Paeds,20,22)</f>
        <v>7.0000000000000007E-2</v>
      </c>
    </row>
    <row r="24" spans="2:27" s="8" customFormat="1" ht="21.75" customHeight="1" thickTop="1" thickBot="1" x14ac:dyDescent="0.35">
      <c r="B24" s="32" t="s">
        <v>54</v>
      </c>
      <c r="C24" s="32" t="s">
        <v>23</v>
      </c>
      <c r="D24" s="64">
        <v>3</v>
      </c>
      <c r="E24" s="32" t="s">
        <v>21</v>
      </c>
      <c r="F24" s="216">
        <f>INDEX(Q2_Paeds,21,7)</f>
        <v>4</v>
      </c>
      <c r="G24" s="223">
        <f>INDEX(Q2_Paeds,21,8)</f>
        <v>4</v>
      </c>
      <c r="H24" s="202">
        <f>INDEX(Q2_Paeds,21,9)</f>
        <v>59</v>
      </c>
      <c r="I24" s="203">
        <f t="shared" si="0"/>
        <v>0.44696969696969696</v>
      </c>
      <c r="J24" s="204">
        <f>INDEX(Q2_Paeds,21,10)</f>
        <v>39</v>
      </c>
      <c r="K24" s="203">
        <f t="shared" si="1"/>
        <v>0.29545454545454547</v>
      </c>
      <c r="L24" s="204">
        <f>INDEX(Q2_Paeds,21,11)</f>
        <v>32</v>
      </c>
      <c r="M24" s="203">
        <f t="shared" si="2"/>
        <v>0.24242424242424243</v>
      </c>
      <c r="N24" s="204">
        <f>INDEX(Q2_Paeds,21,12)</f>
        <v>2</v>
      </c>
      <c r="O24" s="203">
        <f t="shared" si="3"/>
        <v>1.5151515151515152E-2</v>
      </c>
      <c r="P24" s="205">
        <f>INDEX(Q2_Paeds,21,13)</f>
        <v>132</v>
      </c>
      <c r="Q24" s="202">
        <f>INDEX(Q2_Paeds,21,15)</f>
        <v>20</v>
      </c>
      <c r="R24" s="203">
        <f t="shared" si="4"/>
        <v>0.13698630136986301</v>
      </c>
      <c r="S24" s="204">
        <f>INDEX(Q2_Paeds,21,16)</f>
        <v>31</v>
      </c>
      <c r="T24" s="203">
        <f t="shared" si="5"/>
        <v>0.21232876712328766</v>
      </c>
      <c r="U24" s="206">
        <f>INDEX(Q2_Paeds,21,17)</f>
        <v>53</v>
      </c>
      <c r="V24" s="203">
        <f t="shared" si="6"/>
        <v>0.36301369863013699</v>
      </c>
      <c r="W24" s="204">
        <f>INDEX(Q2_Paeds,21,18)</f>
        <v>42</v>
      </c>
      <c r="X24" s="203">
        <f t="shared" si="7"/>
        <v>0.28767123287671231</v>
      </c>
      <c r="Y24" s="205">
        <f>INDEX(Q2_Paeds,21,19)</f>
        <v>146</v>
      </c>
      <c r="Z24" s="217">
        <f>INDEX(Q2_Paeds,21,21)</f>
        <v>0</v>
      </c>
      <c r="AA24" s="218">
        <f>INDEX(Q2_Paeds,21,22)</f>
        <v>0</v>
      </c>
    </row>
    <row r="25" spans="2:27" s="8" customFormat="1" ht="21.75" customHeight="1" thickTop="1" thickBot="1" x14ac:dyDescent="0.35">
      <c r="B25" s="29" t="s">
        <v>62</v>
      </c>
      <c r="C25" s="29" t="s">
        <v>23</v>
      </c>
      <c r="D25" s="61">
        <v>3</v>
      </c>
      <c r="E25" s="29" t="s">
        <v>21</v>
      </c>
      <c r="F25" s="219">
        <f>INDEX(Q2_Paeds,22,7)</f>
        <v>7</v>
      </c>
      <c r="G25" s="220">
        <f>INDEX(Q2_Paeds,22,8)</f>
        <v>10</v>
      </c>
      <c r="H25" s="211">
        <f>INDEX(Q2_Paeds,22,9)</f>
        <v>2</v>
      </c>
      <c r="I25" s="208">
        <f t="shared" si="0"/>
        <v>1</v>
      </c>
      <c r="J25" s="209">
        <f>INDEX(Q2_Paeds,22,10)</f>
        <v>0</v>
      </c>
      <c r="K25" s="208">
        <f t="shared" si="1"/>
        <v>0</v>
      </c>
      <c r="L25" s="209">
        <f>INDEX(Q2_Paeds,22,11)</f>
        <v>0</v>
      </c>
      <c r="M25" s="208">
        <f t="shared" si="2"/>
        <v>0</v>
      </c>
      <c r="N25" s="209">
        <f>INDEX(Q2_Paeds,22,12)</f>
        <v>0</v>
      </c>
      <c r="O25" s="208">
        <f t="shared" si="3"/>
        <v>0</v>
      </c>
      <c r="P25" s="210">
        <f>INDEX(Q2_Paeds,22,13)</f>
        <v>2</v>
      </c>
      <c r="Q25" s="211">
        <f>INDEX(Q2_Paeds,22,15)</f>
        <v>20</v>
      </c>
      <c r="R25" s="208">
        <f t="shared" si="4"/>
        <v>0.64516129032258063</v>
      </c>
      <c r="S25" s="209">
        <f>INDEX(Q2_Paeds,22,16)</f>
        <v>6</v>
      </c>
      <c r="T25" s="208">
        <f t="shared" si="5"/>
        <v>0.19354838709677419</v>
      </c>
      <c r="U25" s="215">
        <f>INDEX(Q2_Paeds,22,17)</f>
        <v>5</v>
      </c>
      <c r="V25" s="208">
        <f t="shared" si="6"/>
        <v>0.16129032258064516</v>
      </c>
      <c r="W25" s="209">
        <f>INDEX(Q2_Paeds,22,18)</f>
        <v>0</v>
      </c>
      <c r="X25" s="208">
        <f t="shared" si="7"/>
        <v>0</v>
      </c>
      <c r="Y25" s="210">
        <f>INDEX(Q2_Paeds,22,19)</f>
        <v>31</v>
      </c>
      <c r="Z25" s="221">
        <f>INDEX(Q2_Paeds,22,21)</f>
        <v>0.1</v>
      </c>
      <c r="AA25" s="222">
        <f>INDEX(Q2_Paeds,22,22)</f>
        <v>7.0000000000000007E-2</v>
      </c>
    </row>
    <row r="26" spans="2:27" ht="15" thickTop="1" x14ac:dyDescent="0.3">
      <c r="B26" s="16"/>
      <c r="C26" s="16"/>
      <c r="D26" s="16"/>
      <c r="E26" s="16"/>
      <c r="F26" s="15"/>
      <c r="G26" s="15"/>
      <c r="H26" s="120"/>
      <c r="I26" s="15"/>
      <c r="J26" s="120"/>
      <c r="K26" s="15"/>
      <c r="L26" s="120"/>
      <c r="M26" s="15"/>
      <c r="N26" s="120"/>
      <c r="O26" s="15"/>
      <c r="P26" s="15"/>
      <c r="Q26" s="120"/>
      <c r="R26" s="15"/>
      <c r="S26" s="120"/>
      <c r="T26" s="15"/>
      <c r="U26" s="120"/>
      <c r="V26" s="15"/>
      <c r="W26" s="120"/>
      <c r="X26" s="15"/>
      <c r="Y26" s="15"/>
      <c r="Z26" s="15"/>
      <c r="AA26" s="15"/>
    </row>
    <row r="27" spans="2:27" ht="15" thickBot="1" x14ac:dyDescent="0.35">
      <c r="B27" s="16"/>
      <c r="C27" s="16"/>
      <c r="D27" s="16"/>
      <c r="E27" s="16"/>
      <c r="F27" s="15"/>
      <c r="G27" s="15"/>
      <c r="H27" s="120"/>
      <c r="I27" s="15"/>
      <c r="J27" s="120"/>
      <c r="K27" s="15"/>
      <c r="L27" s="120"/>
      <c r="M27" s="15"/>
      <c r="N27" s="120"/>
      <c r="O27" s="15"/>
      <c r="P27" s="15"/>
      <c r="Q27" s="120"/>
      <c r="R27" s="15"/>
      <c r="S27" s="120"/>
      <c r="T27" s="15"/>
      <c r="U27" s="120"/>
      <c r="V27" s="15"/>
      <c r="W27" s="120"/>
      <c r="X27" s="15"/>
      <c r="Y27" s="15"/>
      <c r="Z27" s="15"/>
      <c r="AA27" s="15"/>
    </row>
    <row r="28" spans="2:27" ht="14.4" x14ac:dyDescent="0.3">
      <c r="B28" s="319" t="s">
        <v>86</v>
      </c>
      <c r="C28" s="320" t="s">
        <v>87</v>
      </c>
      <c r="D28" s="321"/>
      <c r="E28" s="322"/>
      <c r="F28" s="329" t="s">
        <v>78</v>
      </c>
      <c r="G28" s="300"/>
      <c r="H28" s="330"/>
      <c r="I28" s="331"/>
      <c r="J28" s="334" t="s">
        <v>84</v>
      </c>
      <c r="K28" s="335"/>
      <c r="L28" s="309" t="s">
        <v>84</v>
      </c>
      <c r="M28" s="310"/>
      <c r="N28" s="313" t="s">
        <v>84</v>
      </c>
      <c r="O28" s="314"/>
      <c r="P28" s="228"/>
      <c r="Q28" s="330"/>
      <c r="R28" s="331"/>
      <c r="S28" s="334" t="s">
        <v>84</v>
      </c>
      <c r="T28" s="335"/>
      <c r="U28" s="309" t="s">
        <v>84</v>
      </c>
      <c r="V28" s="310"/>
      <c r="W28" s="313" t="s">
        <v>84</v>
      </c>
      <c r="X28" s="314"/>
      <c r="Y28" s="129"/>
      <c r="Z28" s="299" t="s">
        <v>81</v>
      </c>
      <c r="AA28" s="300"/>
    </row>
    <row r="29" spans="2:27" ht="14.4" x14ac:dyDescent="0.3">
      <c r="B29" s="319"/>
      <c r="C29" s="323"/>
      <c r="D29" s="324"/>
      <c r="E29" s="325"/>
      <c r="F29" s="301" t="s">
        <v>79</v>
      </c>
      <c r="G29" s="302"/>
      <c r="H29" s="332"/>
      <c r="I29" s="333"/>
      <c r="J29" s="336"/>
      <c r="K29" s="337"/>
      <c r="L29" s="311"/>
      <c r="M29" s="312"/>
      <c r="N29" s="315"/>
      <c r="O29" s="316"/>
      <c r="P29" s="229"/>
      <c r="Q29" s="332"/>
      <c r="R29" s="333"/>
      <c r="S29" s="336"/>
      <c r="T29" s="337"/>
      <c r="U29" s="311"/>
      <c r="V29" s="312"/>
      <c r="W29" s="315"/>
      <c r="X29" s="316"/>
      <c r="Y29" s="130"/>
      <c r="Z29" s="303" t="s">
        <v>82</v>
      </c>
      <c r="AA29" s="302"/>
    </row>
    <row r="30" spans="2:27" ht="15" thickBot="1" x14ac:dyDescent="0.35">
      <c r="B30" s="319"/>
      <c r="C30" s="326"/>
      <c r="D30" s="327"/>
      <c r="E30" s="328"/>
      <c r="F30" s="342" t="s">
        <v>80</v>
      </c>
      <c r="G30" s="308"/>
      <c r="H30" s="304"/>
      <c r="I30" s="305"/>
      <c r="J30" s="306" t="s">
        <v>85</v>
      </c>
      <c r="K30" s="305"/>
      <c r="L30" s="306" t="s">
        <v>85</v>
      </c>
      <c r="M30" s="305"/>
      <c r="N30" s="306" t="s">
        <v>85</v>
      </c>
      <c r="O30" s="305"/>
      <c r="P30" s="230"/>
      <c r="Q30" s="304"/>
      <c r="R30" s="305"/>
      <c r="S30" s="306" t="s">
        <v>85</v>
      </c>
      <c r="T30" s="305"/>
      <c r="U30" s="306" t="s">
        <v>85</v>
      </c>
      <c r="V30" s="305"/>
      <c r="W30" s="306" t="s">
        <v>85</v>
      </c>
      <c r="X30" s="305"/>
      <c r="Y30" s="116"/>
      <c r="Z30" s="307" t="s">
        <v>83</v>
      </c>
      <c r="AA30" s="308"/>
    </row>
    <row r="31" spans="2:27" ht="14.4" x14ac:dyDescent="0.3">
      <c r="B31" s="17"/>
      <c r="C31" s="17"/>
      <c r="D31" s="17"/>
      <c r="E31" s="17"/>
      <c r="F31" s="18"/>
      <c r="G31" s="18"/>
      <c r="H31" s="121"/>
      <c r="I31" s="18"/>
      <c r="J31" s="121"/>
      <c r="K31" s="18"/>
      <c r="L31" s="121"/>
      <c r="M31" s="18"/>
      <c r="N31" s="121"/>
      <c r="O31" s="18"/>
      <c r="P31" s="18"/>
      <c r="Q31" s="121"/>
      <c r="R31" s="18"/>
      <c r="S31" s="121"/>
      <c r="T31" s="18"/>
      <c r="U31" s="121"/>
      <c r="V31" s="18"/>
      <c r="W31" s="121"/>
      <c r="X31" s="18"/>
      <c r="Y31" s="18"/>
      <c r="Z31" s="18"/>
      <c r="AA31" s="19"/>
    </row>
    <row r="32" spans="2:27" ht="14.4" x14ac:dyDescent="0.3">
      <c r="B32" s="15"/>
      <c r="C32" s="15"/>
      <c r="D32" s="15"/>
      <c r="E32" s="15"/>
      <c r="F32" s="20">
        <v>10</v>
      </c>
      <c r="G32" s="20">
        <v>10</v>
      </c>
      <c r="H32" s="122">
        <v>10</v>
      </c>
      <c r="I32" s="20"/>
      <c r="J32" s="122">
        <v>10</v>
      </c>
      <c r="K32" s="20">
        <v>10</v>
      </c>
      <c r="L32" s="122">
        <v>10</v>
      </c>
      <c r="M32" s="20"/>
      <c r="N32" s="122"/>
      <c r="O32" s="20"/>
      <c r="P32" s="20"/>
      <c r="Q32" s="122"/>
      <c r="R32" s="20"/>
      <c r="S32" s="122"/>
      <c r="T32" s="20"/>
      <c r="U32" s="122"/>
      <c r="V32" s="20"/>
      <c r="W32" s="122"/>
      <c r="X32" s="20"/>
      <c r="Y32" s="20"/>
      <c r="Z32" s="20"/>
      <c r="AA32" s="15"/>
    </row>
    <row r="33" spans="2:27" ht="14.4" x14ac:dyDescent="0.3">
      <c r="B33" s="16" t="s">
        <v>15</v>
      </c>
      <c r="C33" s="16"/>
      <c r="D33" s="16"/>
      <c r="E33" s="16"/>
      <c r="F33" s="21"/>
      <c r="G33" s="15"/>
      <c r="H33" s="120"/>
      <c r="I33" s="15"/>
      <c r="J33" s="120"/>
      <c r="K33" s="15"/>
      <c r="L33" s="120"/>
      <c r="M33" s="15"/>
      <c r="N33" s="120"/>
      <c r="O33" s="15"/>
      <c r="P33" s="15"/>
      <c r="Q33" s="120"/>
      <c r="R33" s="15"/>
      <c r="S33" s="120"/>
      <c r="T33" s="15"/>
      <c r="U33" s="120"/>
      <c r="V33" s="15"/>
      <c r="W33" s="120"/>
      <c r="X33" s="15"/>
      <c r="Y33" s="15"/>
      <c r="Z33" s="15"/>
      <c r="AA33" s="15"/>
    </row>
    <row r="34" spans="2:27" ht="14.4" x14ac:dyDescent="0.3">
      <c r="B34" s="22" t="s">
        <v>16</v>
      </c>
      <c r="C34" s="22"/>
      <c r="D34" s="22"/>
      <c r="E34" s="22"/>
      <c r="F34" s="15"/>
      <c r="G34" s="15"/>
      <c r="H34" s="120"/>
      <c r="I34" s="15"/>
      <c r="J34" s="120"/>
      <c r="K34" s="15"/>
      <c r="L34" s="120"/>
      <c r="M34" s="15"/>
      <c r="N34" s="120"/>
      <c r="O34" s="15"/>
      <c r="P34" s="15"/>
      <c r="Q34" s="120"/>
      <c r="R34" s="15"/>
      <c r="S34" s="120"/>
      <c r="T34" s="15"/>
      <c r="U34" s="120"/>
      <c r="V34" s="15"/>
      <c r="W34" s="120"/>
      <c r="X34" s="15"/>
      <c r="Y34" s="15"/>
      <c r="Z34" s="15"/>
      <c r="AA34" s="15"/>
    </row>
    <row r="35" spans="2:27" ht="14.4" x14ac:dyDescent="0.3">
      <c r="B35" s="23"/>
      <c r="C35" s="23"/>
      <c r="D35" s="23"/>
      <c r="E35" s="23"/>
      <c r="F35" s="15"/>
      <c r="G35" s="15"/>
      <c r="H35" s="120"/>
      <c r="I35" s="15"/>
      <c r="J35" s="120"/>
      <c r="K35" s="15"/>
      <c r="L35" s="120"/>
      <c r="M35" s="15"/>
      <c r="N35" s="120"/>
      <c r="O35" s="15"/>
      <c r="P35" s="15"/>
      <c r="Q35" s="120"/>
      <c r="R35" s="15"/>
      <c r="S35" s="120"/>
      <c r="T35" s="15"/>
      <c r="U35" s="120"/>
      <c r="V35" s="15"/>
      <c r="W35" s="120"/>
      <c r="X35" s="15"/>
      <c r="Y35" s="15"/>
      <c r="Z35" s="15"/>
      <c r="AA35" s="15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sheetProtection algorithmName="SHA-512" hashValue="M9xbSOe3t6OgfR8WUoYEiMTim77NGuNs81ff2mCMQixDbzCk1AkhD9YIEPtv/tShdJ9IMdLUz+4dwsx/jbcEQQ==" saltValue="FyaV+fOY5nS5Au/2o8HaRg==" spinCount="100000" sheet="1" objects="1" scenarios="1" select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120" priority="9" operator="containsText" text="N/A">
      <formula>NOT(ISERROR(SEARCH("N/A",F8)))</formula>
    </cfRule>
    <cfRule type="cellIs" dxfId="119" priority="16" operator="between">
      <formula>0.01</formula>
      <formula>13</formula>
    </cfRule>
    <cfRule type="cellIs" dxfId="118" priority="17" operator="between">
      <formula>13</formula>
      <formula>18</formula>
    </cfRule>
    <cfRule type="cellIs" dxfId="117" priority="18" operator="greaterThan">
      <formula>18</formula>
    </cfRule>
    <cfRule type="cellIs" dxfId="116" priority="19" operator="greaterThan">
      <formula>18</formula>
    </cfRule>
  </conditionalFormatting>
  <conditionalFormatting sqref="K8:K25 T8:T25">
    <cfRule type="cellIs" dxfId="115" priority="15" operator="greaterThan">
      <formula>0.49</formula>
    </cfRule>
  </conditionalFormatting>
  <conditionalFormatting sqref="V8:V25 M8:M25">
    <cfRule type="cellIs" dxfId="114" priority="14" operator="greaterThan">
      <formula>0.49</formula>
    </cfRule>
  </conditionalFormatting>
  <conditionalFormatting sqref="O8:O25 X8:X25">
    <cfRule type="cellIs" dxfId="113" priority="13" operator="greaterThan">
      <formula>0.49</formula>
    </cfRule>
  </conditionalFormatting>
  <conditionalFormatting sqref="Z8:AA25">
    <cfRule type="cellIs" dxfId="112" priority="10" operator="between">
      <formula>0.0001</formula>
      <formula>0.1</formula>
    </cfRule>
    <cfRule type="cellIs" dxfId="111" priority="11" operator="between">
      <formula>0.1</formula>
      <formula>0.19</formula>
    </cfRule>
    <cfRule type="cellIs" dxfId="110" priority="12" operator="greaterThan">
      <formula>0.2</formula>
    </cfRule>
  </conditionalFormatting>
  <conditionalFormatting sqref="J8:J25">
    <cfRule type="expression" dxfId="109" priority="8">
      <formula>($J8/$P8*100)&gt;49.49</formula>
    </cfRule>
  </conditionalFormatting>
  <conditionalFormatting sqref="L8:L25">
    <cfRule type="expression" dxfId="108" priority="7">
      <formula>($L8/$P8*100)&gt;49.49</formula>
    </cfRule>
  </conditionalFormatting>
  <conditionalFormatting sqref="N8:N25">
    <cfRule type="expression" dxfId="107" priority="6">
      <formula>($N8/$P8*100)&gt;49.49</formula>
    </cfRule>
  </conditionalFormatting>
  <conditionalFormatting sqref="S8:S25">
    <cfRule type="expression" dxfId="106" priority="5">
      <formula>($S8/$Y8*100)&gt;49.49</formula>
    </cfRule>
  </conditionalFormatting>
  <conditionalFormatting sqref="U8:U25">
    <cfRule type="expression" dxfId="105" priority="4">
      <formula>($U8/$Y8*100)&gt;49.49</formula>
    </cfRule>
  </conditionalFormatting>
  <conditionalFormatting sqref="W8:W25">
    <cfRule type="expression" dxfId="104" priority="3">
      <formula>($W8/$Y8*100)&gt;49.49</formula>
    </cfRule>
  </conditionalFormatting>
  <conditionalFormatting sqref="L9">
    <cfRule type="expression" dxfId="103" priority="2">
      <formula>"$M$9=&gt;.499"</formula>
    </cfRule>
  </conditionalFormatting>
  <conditionalFormatting sqref="F8:AA25">
    <cfRule type="expression" dxfId="102" priority="1">
      <formula>$F8="No data"</formula>
    </cfRule>
  </conditionalFormatting>
  <hyperlinks>
    <hyperlink ref="C28:E30" location="Sheet1!A1" display="For more information on rag ratings please click here" xr:uid="{00000000-0004-0000-0600-000000000000}"/>
    <hyperlink ref="B3" location="'Front Page'!A1" display="Return to Contents" xr:uid="{00000000-0004-0000-0600-000001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56"/>
  <sheetViews>
    <sheetView showGridLines="0" zoomScale="80" zoomScaleNormal="80" workbookViewId="0">
      <selection activeCell="Y1" sqref="Y1:AA1"/>
    </sheetView>
  </sheetViews>
  <sheetFormatPr defaultColWidth="0" defaultRowHeight="14.4" customHeight="1" zeroHeight="1" x14ac:dyDescent="0.3"/>
  <cols>
    <col min="1" max="29" width="9.109375" style="33" customWidth="1"/>
    <col min="30" max="16384" width="9.109375" style="33" hidden="1"/>
  </cols>
  <sheetData>
    <row r="1" spans="1:29" s="10" customFormat="1" ht="35.25" customHeight="1" x14ac:dyDescent="0.3">
      <c r="A1" s="352" t="s">
        <v>96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434" t="s">
        <v>95</v>
      </c>
      <c r="Z1" s="434"/>
      <c r="AA1" s="434"/>
    </row>
    <row r="2" spans="1:29" s="80" customFormat="1" ht="30" customHeight="1" x14ac:dyDescent="0.3">
      <c r="A2" s="354" t="s">
        <v>200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</row>
    <row r="3" spans="1:29" s="81" customFormat="1" ht="25.5" customHeight="1" x14ac:dyDescent="0.3">
      <c r="B3" s="82" t="s">
        <v>106</v>
      </c>
    </row>
    <row r="4" spans="1:29" s="12" customFormat="1" x14ac:dyDescent="0.3"/>
    <row r="5" spans="1:29" s="12" customFormat="1" x14ac:dyDescent="0.3"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</row>
    <row r="6" spans="1:29" s="12" customFormat="1" x14ac:dyDescent="0.3"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</row>
    <row r="7" spans="1:29" s="12" customFormat="1" x14ac:dyDescent="0.3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</row>
    <row r="8" spans="1:29" s="12" customFormat="1" x14ac:dyDescent="0.3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</row>
    <row r="9" spans="1:29" s="12" customFormat="1" x14ac:dyDescent="0.3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</row>
    <row r="10" spans="1:29" s="12" customFormat="1" x14ac:dyDescent="0.3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</row>
    <row r="11" spans="1:29" s="12" customFormat="1" x14ac:dyDescent="0.3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</row>
    <row r="12" spans="1:29" s="12" customFormat="1" x14ac:dyDescent="0.3"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</row>
    <row r="13" spans="1:29" s="12" customFormat="1" x14ac:dyDescent="0.3"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</row>
    <row r="14" spans="1:29" s="12" customFormat="1" x14ac:dyDescent="0.3"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</row>
    <row r="15" spans="1:29" s="12" customFormat="1" x14ac:dyDescent="0.3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</row>
    <row r="16" spans="1:29" s="12" customFormat="1" x14ac:dyDescent="0.3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</row>
    <row r="17" spans="2:28" s="12" customFormat="1" x14ac:dyDescent="0.3"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</row>
    <row r="18" spans="2:28" s="12" customFormat="1" x14ac:dyDescent="0.3"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</row>
    <row r="19" spans="2:28" s="12" customFormat="1" x14ac:dyDescent="0.3"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</row>
    <row r="20" spans="2:28" s="12" customFormat="1" x14ac:dyDescent="0.3"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</row>
    <row r="21" spans="2:28" s="12" customFormat="1" x14ac:dyDescent="0.3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</row>
    <row r="22" spans="2:28" s="12" customFormat="1" x14ac:dyDescent="0.3"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</row>
    <row r="23" spans="2:28" s="12" customFormat="1" x14ac:dyDescent="0.3"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</row>
    <row r="24" spans="2:28" s="12" customFormat="1" x14ac:dyDescent="0.3"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</row>
    <row r="25" spans="2:28" s="12" customFormat="1" x14ac:dyDescent="0.3"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</row>
    <row r="26" spans="2:28" s="12" customFormat="1" x14ac:dyDescent="0.3"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</row>
    <row r="27" spans="2:28" s="12" customFormat="1" x14ac:dyDescent="0.3"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</row>
    <row r="28" spans="2:28" s="12" customFormat="1" x14ac:dyDescent="0.3"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</row>
    <row r="29" spans="2:28" s="12" customFormat="1" x14ac:dyDescent="0.3"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</row>
    <row r="30" spans="2:28" s="12" customFormat="1" x14ac:dyDescent="0.3"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</row>
    <row r="31" spans="2:28" s="12" customFormat="1" x14ac:dyDescent="0.3"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</row>
    <row r="32" spans="2:28" s="12" customFormat="1" x14ac:dyDescent="0.3"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</row>
    <row r="33" spans="1:28" s="12" customFormat="1" x14ac:dyDescent="0.3"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</row>
    <row r="34" spans="1:28" s="12" customFormat="1" x14ac:dyDescent="0.3"/>
    <row r="35" spans="1:28" s="12" customFormat="1" x14ac:dyDescent="0.3"/>
    <row r="36" spans="1:28" s="81" customFormat="1" ht="25.5" customHeight="1" x14ac:dyDescent="0.3">
      <c r="B36" s="82" t="s">
        <v>97</v>
      </c>
    </row>
    <row r="37" spans="1:28" s="12" customFormat="1" x14ac:dyDescent="0.3"/>
    <row r="38" spans="1:28" s="79" customFormat="1" x14ac:dyDescent="0.3">
      <c r="A38" s="12"/>
    </row>
    <row r="39" spans="1:28" s="79" customFormat="1" x14ac:dyDescent="0.3">
      <c r="A39" s="12"/>
    </row>
    <row r="40" spans="1:28" s="79" customFormat="1" x14ac:dyDescent="0.3">
      <c r="A40" s="12"/>
    </row>
    <row r="41" spans="1:28" s="79" customFormat="1" x14ac:dyDescent="0.3">
      <c r="A41" s="12"/>
    </row>
    <row r="42" spans="1:28" s="79" customFormat="1" x14ac:dyDescent="0.3">
      <c r="A42" s="12"/>
    </row>
    <row r="43" spans="1:28" s="79" customFormat="1" x14ac:dyDescent="0.3">
      <c r="A43" s="12"/>
    </row>
    <row r="44" spans="1:28" s="79" customFormat="1" x14ac:dyDescent="0.3">
      <c r="A44" s="12"/>
    </row>
    <row r="45" spans="1:28" s="79" customFormat="1" x14ac:dyDescent="0.3">
      <c r="A45" s="12"/>
    </row>
    <row r="46" spans="1:28" s="79" customFormat="1" x14ac:dyDescent="0.3">
      <c r="A46" s="12"/>
    </row>
    <row r="47" spans="1:28" s="79" customFormat="1" x14ac:dyDescent="0.3">
      <c r="A47" s="12"/>
    </row>
    <row r="48" spans="1:28" s="79" customFormat="1" x14ac:dyDescent="0.3">
      <c r="A48" s="12"/>
    </row>
    <row r="49" spans="1:1" s="79" customFormat="1" x14ac:dyDescent="0.3">
      <c r="A49" s="12"/>
    </row>
    <row r="50" spans="1:1" s="79" customFormat="1" x14ac:dyDescent="0.3">
      <c r="A50" s="12"/>
    </row>
    <row r="51" spans="1:1" s="79" customFormat="1" x14ac:dyDescent="0.3">
      <c r="A51" s="12"/>
    </row>
    <row r="52" spans="1:1" s="79" customFormat="1" x14ac:dyDescent="0.3">
      <c r="A52" s="12"/>
    </row>
    <row r="53" spans="1:1" s="79" customFormat="1" x14ac:dyDescent="0.3">
      <c r="A53" s="12"/>
    </row>
    <row r="54" spans="1:1" s="79" customFormat="1" x14ac:dyDescent="0.3">
      <c r="A54" s="12"/>
    </row>
    <row r="55" spans="1:1" s="79" customFormat="1" x14ac:dyDescent="0.3">
      <c r="A55" s="12"/>
    </row>
    <row r="56" spans="1:1" s="79" customFormat="1" x14ac:dyDescent="0.3">
      <c r="A56" s="12"/>
    </row>
    <row r="57" spans="1:1" s="79" customFormat="1" x14ac:dyDescent="0.3">
      <c r="A57" s="12"/>
    </row>
    <row r="58" spans="1:1" s="79" customFormat="1" x14ac:dyDescent="0.3">
      <c r="A58" s="12"/>
    </row>
    <row r="59" spans="1:1" s="79" customFormat="1" x14ac:dyDescent="0.3">
      <c r="A59" s="12"/>
    </row>
    <row r="60" spans="1:1" s="79" customFormat="1" x14ac:dyDescent="0.3">
      <c r="A60" s="12"/>
    </row>
    <row r="61" spans="1:1" s="79" customFormat="1" x14ac:dyDescent="0.3">
      <c r="A61" s="12"/>
    </row>
    <row r="62" spans="1:1" s="79" customFormat="1" x14ac:dyDescent="0.3">
      <c r="A62" s="12"/>
    </row>
    <row r="63" spans="1:1" s="79" customFormat="1" x14ac:dyDescent="0.3">
      <c r="A63" s="12"/>
    </row>
    <row r="64" spans="1:1" s="79" customFormat="1" x14ac:dyDescent="0.3">
      <c r="A64" s="12"/>
    </row>
    <row r="65" spans="1:1" s="79" customFormat="1" x14ac:dyDescent="0.3">
      <c r="A65" s="12"/>
    </row>
    <row r="66" spans="1:1" s="79" customFormat="1" x14ac:dyDescent="0.3">
      <c r="A66" s="12"/>
    </row>
    <row r="67" spans="1:1" s="79" customFormat="1" x14ac:dyDescent="0.3">
      <c r="A67" s="12"/>
    </row>
    <row r="68" spans="1:1" s="79" customFormat="1" x14ac:dyDescent="0.3">
      <c r="A68" s="12"/>
    </row>
    <row r="69" spans="1:1" s="79" customFormat="1" x14ac:dyDescent="0.3">
      <c r="A69" s="12"/>
    </row>
    <row r="70" spans="1:1" s="79" customFormat="1" x14ac:dyDescent="0.3">
      <c r="A70" s="12"/>
    </row>
    <row r="71" spans="1:1" s="79" customFormat="1" x14ac:dyDescent="0.3">
      <c r="A71" s="12"/>
    </row>
    <row r="72" spans="1:1" s="79" customFormat="1" x14ac:dyDescent="0.3">
      <c r="A72" s="12"/>
    </row>
    <row r="73" spans="1:1" s="79" customFormat="1" x14ac:dyDescent="0.3">
      <c r="A73" s="12"/>
    </row>
    <row r="74" spans="1:1" s="79" customFormat="1" x14ac:dyDescent="0.3">
      <c r="A74" s="12"/>
    </row>
    <row r="75" spans="1:1" s="79" customFormat="1" x14ac:dyDescent="0.3">
      <c r="A75" s="12"/>
    </row>
    <row r="76" spans="1:1" s="79" customFormat="1" x14ac:dyDescent="0.3">
      <c r="A76" s="12"/>
    </row>
    <row r="77" spans="1:1" s="79" customFormat="1" x14ac:dyDescent="0.3">
      <c r="A77" s="12"/>
    </row>
    <row r="78" spans="1:1" s="79" customFormat="1" x14ac:dyDescent="0.3">
      <c r="A78" s="12"/>
    </row>
    <row r="79" spans="1:1" s="79" customFormat="1" x14ac:dyDescent="0.3">
      <c r="A79" s="12"/>
    </row>
    <row r="80" spans="1:1" s="79" customFormat="1" x14ac:dyDescent="0.3">
      <c r="A80" s="12"/>
    </row>
    <row r="81" spans="1:29" s="79" customFormat="1" x14ac:dyDescent="0.3">
      <c r="A81" s="12"/>
    </row>
    <row r="82" spans="1:29" s="79" customFormat="1" x14ac:dyDescent="0.3">
      <c r="A82" s="12"/>
    </row>
    <row r="83" spans="1:29" s="79" customFormat="1" x14ac:dyDescent="0.3">
      <c r="A83" s="12"/>
    </row>
    <row r="84" spans="1:29" s="79" customFormat="1" x14ac:dyDescent="0.3">
      <c r="A84" s="12"/>
    </row>
    <row r="85" spans="1:29" s="79" customFormat="1" x14ac:dyDescent="0.3">
      <c r="A85" s="12"/>
    </row>
    <row r="86" spans="1:29" s="79" customFormat="1" x14ac:dyDescent="0.3">
      <c r="A86" s="12"/>
    </row>
    <row r="87" spans="1:29" s="79" customFormat="1" x14ac:dyDescent="0.3">
      <c r="A87" s="12"/>
    </row>
    <row r="88" spans="1:29" s="79" customFormat="1" x14ac:dyDescent="0.3">
      <c r="A88" s="12"/>
    </row>
    <row r="89" spans="1:29" s="12" customFormat="1" x14ac:dyDescent="0.3"/>
    <row r="90" spans="1:29" s="12" customFormat="1" x14ac:dyDescent="0.3"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</row>
    <row r="91" spans="1:29" s="12" customFormat="1" x14ac:dyDescent="0.3"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</row>
    <row r="92" spans="1:29" s="12" customFormat="1" x14ac:dyDescent="0.3"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</row>
    <row r="93" spans="1:29" s="12" customFormat="1" x14ac:dyDescent="0.3"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</row>
    <row r="94" spans="1:29" s="12" customFormat="1" x14ac:dyDescent="0.3"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</row>
    <row r="95" spans="1:29" s="12" customFormat="1" x14ac:dyDescent="0.3"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</row>
    <row r="96" spans="1:29" s="12" customFormat="1" x14ac:dyDescent="0.3"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</row>
    <row r="97" spans="2:29" s="12" customFormat="1" x14ac:dyDescent="0.3"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</row>
    <row r="98" spans="2:29" s="12" customFormat="1" x14ac:dyDescent="0.3"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</row>
    <row r="99" spans="2:29" s="12" customFormat="1" x14ac:dyDescent="0.3"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</row>
    <row r="100" spans="2:29" s="12" customFormat="1" x14ac:dyDescent="0.3"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</row>
    <row r="101" spans="2:29" s="12" customFormat="1" x14ac:dyDescent="0.3"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</row>
    <row r="102" spans="2:29" s="12" customFormat="1" x14ac:dyDescent="0.3"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</row>
    <row r="103" spans="2:29" s="12" customFormat="1" x14ac:dyDescent="0.3"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</row>
    <row r="104" spans="2:29" s="12" customFormat="1" x14ac:dyDescent="0.3"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</row>
    <row r="105" spans="2:29" s="12" customFormat="1" x14ac:dyDescent="0.3"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</row>
    <row r="106" spans="2:29" s="12" customFormat="1" x14ac:dyDescent="0.3"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</row>
    <row r="107" spans="2:29" s="12" customFormat="1" x14ac:dyDescent="0.3"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</row>
    <row r="108" spans="2:29" s="12" customFormat="1" x14ac:dyDescent="0.3"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</row>
    <row r="109" spans="2:29" s="12" customFormat="1" x14ac:dyDescent="0.3"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</row>
    <row r="110" spans="2:29" s="12" customFormat="1" x14ac:dyDescent="0.3"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</row>
    <row r="111" spans="2:29" s="12" customFormat="1" x14ac:dyDescent="0.3"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</row>
    <row r="112" spans="2:29" s="12" customFormat="1" x14ac:dyDescent="0.3"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</row>
    <row r="113" spans="2:29" s="12" customFormat="1" x14ac:dyDescent="0.3"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</row>
    <row r="114" spans="2:29" s="12" customFormat="1" x14ac:dyDescent="0.3"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</row>
    <row r="115" spans="2:29" s="12" customFormat="1" x14ac:dyDescent="0.3"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</row>
    <row r="116" spans="2:29" s="12" customFormat="1" x14ac:dyDescent="0.3"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</row>
    <row r="117" spans="2:29" s="12" customFormat="1" x14ac:dyDescent="0.3"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</row>
    <row r="118" spans="2:29" s="12" customFormat="1" x14ac:dyDescent="0.3"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</row>
    <row r="119" spans="2:29" s="12" customFormat="1" x14ac:dyDescent="0.3"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</row>
    <row r="120" spans="2:29" s="12" customFormat="1" x14ac:dyDescent="0.3"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</row>
    <row r="121" spans="2:29" s="12" customFormat="1" x14ac:dyDescent="0.3"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</row>
    <row r="122" spans="2:29" s="12" customFormat="1" x14ac:dyDescent="0.3"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9"/>
    </row>
    <row r="123" spans="2:29" s="12" customFormat="1" x14ac:dyDescent="0.3"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79"/>
    </row>
    <row r="124" spans="2:29" s="12" customFormat="1" x14ac:dyDescent="0.3"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  <c r="AC124" s="79"/>
    </row>
    <row r="125" spans="2:29" s="12" customFormat="1" x14ac:dyDescent="0.3"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</row>
    <row r="126" spans="2:29" s="12" customFormat="1" x14ac:dyDescent="0.3"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</row>
    <row r="127" spans="2:29" s="12" customFormat="1" x14ac:dyDescent="0.3"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</row>
    <row r="128" spans="2:29" s="12" customFormat="1" x14ac:dyDescent="0.3"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79"/>
    </row>
    <row r="129" spans="2:29" s="12" customFormat="1" x14ac:dyDescent="0.3"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</row>
    <row r="130" spans="2:29" s="12" customFormat="1" x14ac:dyDescent="0.3"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79"/>
    </row>
    <row r="131" spans="2:29" s="12" customFormat="1" x14ac:dyDescent="0.3"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</row>
    <row r="132" spans="2:29" s="12" customFormat="1" x14ac:dyDescent="0.3"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C132" s="79"/>
    </row>
    <row r="133" spans="2:29" s="12" customFormat="1" x14ac:dyDescent="0.3"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</row>
    <row r="134" spans="2:29" s="12" customFormat="1" x14ac:dyDescent="0.3"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</row>
    <row r="135" spans="2:29" s="12" customFormat="1" x14ac:dyDescent="0.3"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79"/>
    </row>
    <row r="136" spans="2:29" s="12" customFormat="1" x14ac:dyDescent="0.3"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</row>
    <row r="137" spans="2:29" s="12" customFormat="1" x14ac:dyDescent="0.3"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</row>
    <row r="138" spans="2:29" s="12" customFormat="1" x14ac:dyDescent="0.3"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</row>
    <row r="139" spans="2:29" s="12" customFormat="1" x14ac:dyDescent="0.3"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</row>
    <row r="140" spans="2:29" s="12" customFormat="1" x14ac:dyDescent="0.3"/>
    <row r="141" spans="2:29" s="12" customFormat="1" x14ac:dyDescent="0.3"/>
    <row r="142" spans="2:29" s="81" customFormat="1" ht="25.5" customHeight="1" x14ac:dyDescent="0.3">
      <c r="B142" s="82" t="s">
        <v>3</v>
      </c>
    </row>
    <row r="143" spans="2:29" s="12" customFormat="1" x14ac:dyDescent="0.3"/>
    <row r="144" spans="2:29" s="12" customFormat="1" x14ac:dyDescent="0.3"/>
    <row r="145" spans="2:28" s="12" customFormat="1" x14ac:dyDescent="0.3"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</row>
    <row r="146" spans="2:28" s="12" customFormat="1" x14ac:dyDescent="0.3"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</row>
    <row r="147" spans="2:28" s="12" customFormat="1" x14ac:dyDescent="0.3"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</row>
    <row r="148" spans="2:28" s="12" customFormat="1" x14ac:dyDescent="0.3"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</row>
    <row r="149" spans="2:28" s="12" customFormat="1" x14ac:dyDescent="0.3"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</row>
    <row r="150" spans="2:28" s="12" customFormat="1" x14ac:dyDescent="0.3"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</row>
    <row r="151" spans="2:28" s="12" customFormat="1" x14ac:dyDescent="0.3"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</row>
    <row r="152" spans="2:28" s="12" customFormat="1" x14ac:dyDescent="0.3"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</row>
    <row r="153" spans="2:28" s="12" customFormat="1" x14ac:dyDescent="0.3"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</row>
    <row r="154" spans="2:28" s="12" customFormat="1" x14ac:dyDescent="0.3"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</row>
    <row r="155" spans="2:28" s="12" customFormat="1" x14ac:dyDescent="0.3"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</row>
    <row r="156" spans="2:28" s="12" customFormat="1" x14ac:dyDescent="0.3"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</row>
    <row r="157" spans="2:28" s="12" customFormat="1" x14ac:dyDescent="0.3"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  <c r="AA157" s="79"/>
      <c r="AB157" s="79"/>
    </row>
    <row r="158" spans="2:28" s="12" customFormat="1" x14ac:dyDescent="0.3"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</row>
    <row r="159" spans="2:28" s="12" customFormat="1" x14ac:dyDescent="0.3"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</row>
    <row r="160" spans="2:28" s="12" customFormat="1" x14ac:dyDescent="0.3"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</row>
    <row r="161" spans="2:28" s="12" customFormat="1" x14ac:dyDescent="0.3"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</row>
    <row r="162" spans="2:28" s="12" customFormat="1" x14ac:dyDescent="0.3"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  <c r="AA162" s="79"/>
      <c r="AB162" s="79"/>
    </row>
    <row r="163" spans="2:28" s="12" customFormat="1" x14ac:dyDescent="0.3"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</row>
    <row r="164" spans="2:28" s="12" customFormat="1" x14ac:dyDescent="0.3"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  <c r="AA164" s="79"/>
      <c r="AB164" s="79"/>
    </row>
    <row r="165" spans="2:28" s="12" customFormat="1" x14ac:dyDescent="0.3"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</row>
    <row r="166" spans="2:28" s="12" customFormat="1" x14ac:dyDescent="0.3"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  <c r="AA166" s="79"/>
      <c r="AB166" s="79"/>
    </row>
    <row r="167" spans="2:28" s="12" customFormat="1" x14ac:dyDescent="0.3"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</row>
    <row r="168" spans="2:28" s="12" customFormat="1" x14ac:dyDescent="0.3"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</row>
    <row r="169" spans="2:28" s="12" customFormat="1" x14ac:dyDescent="0.3"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</row>
    <row r="170" spans="2:28" s="12" customFormat="1" x14ac:dyDescent="0.3"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</row>
    <row r="171" spans="2:28" s="12" customFormat="1" x14ac:dyDescent="0.3"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</row>
    <row r="172" spans="2:28" s="12" customFormat="1" x14ac:dyDescent="0.3"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  <c r="AA172" s="79"/>
      <c r="AB172" s="79"/>
    </row>
    <row r="173" spans="2:28" s="12" customFormat="1" x14ac:dyDescent="0.3"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</row>
    <row r="174" spans="2:28" s="12" customFormat="1" x14ac:dyDescent="0.3"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</row>
    <row r="175" spans="2:28" s="12" customFormat="1" x14ac:dyDescent="0.3"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79"/>
    </row>
    <row r="176" spans="2:28" s="12" customFormat="1" x14ac:dyDescent="0.3"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</row>
    <row r="177" spans="2:28" s="12" customFormat="1" x14ac:dyDescent="0.3"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</row>
    <row r="178" spans="2:28" s="12" customFormat="1" x14ac:dyDescent="0.3"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</row>
    <row r="179" spans="2:28" s="12" customFormat="1" x14ac:dyDescent="0.3"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79"/>
    </row>
    <row r="180" spans="2:28" s="12" customFormat="1" x14ac:dyDescent="0.3"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</row>
    <row r="181" spans="2:28" s="12" customFormat="1" x14ac:dyDescent="0.3"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</row>
    <row r="182" spans="2:28" s="12" customFormat="1" x14ac:dyDescent="0.3"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</row>
    <row r="183" spans="2:28" s="12" customFormat="1" x14ac:dyDescent="0.3"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</row>
    <row r="184" spans="2:28" s="12" customFormat="1" x14ac:dyDescent="0.3"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</row>
    <row r="185" spans="2:28" s="12" customFormat="1" x14ac:dyDescent="0.3"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</row>
    <row r="186" spans="2:28" s="12" customFormat="1" x14ac:dyDescent="0.3"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79"/>
    </row>
    <row r="187" spans="2:28" s="12" customFormat="1" x14ac:dyDescent="0.3"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  <c r="AA187" s="79"/>
      <c r="AB187" s="79"/>
    </row>
    <row r="188" spans="2:28" s="12" customFormat="1" x14ac:dyDescent="0.3">
      <c r="B188" s="79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</row>
    <row r="189" spans="2:28" s="12" customFormat="1" x14ac:dyDescent="0.3"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  <c r="AA189" s="79"/>
      <c r="AB189" s="79"/>
    </row>
    <row r="190" spans="2:28" s="12" customFormat="1" x14ac:dyDescent="0.3"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  <c r="AA190" s="79"/>
      <c r="AB190" s="79"/>
    </row>
    <row r="191" spans="2:28" s="12" customFormat="1" x14ac:dyDescent="0.3"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  <c r="AA191" s="79"/>
      <c r="AB191" s="79"/>
    </row>
    <row r="192" spans="2:28" s="12" customFormat="1" x14ac:dyDescent="0.3"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</row>
    <row r="193" spans="2:28" s="12" customFormat="1" x14ac:dyDescent="0.3"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</row>
    <row r="194" spans="2:28" s="12" customFormat="1" x14ac:dyDescent="0.3"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</row>
    <row r="195" spans="2:28" s="12" customFormat="1" x14ac:dyDescent="0.3"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  <c r="AA195" s="79"/>
      <c r="AB195" s="79"/>
    </row>
    <row r="196" spans="2:28" s="12" customFormat="1" ht="20.25" customHeight="1" x14ac:dyDescent="0.3"/>
    <row r="197" spans="2:28" s="12" customFormat="1" x14ac:dyDescent="0.3">
      <c r="B197" s="79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  <c r="AA197" s="79"/>
      <c r="AB197" s="79"/>
    </row>
    <row r="198" spans="2:28" s="12" customFormat="1" x14ac:dyDescent="0.3"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</row>
    <row r="199" spans="2:28" s="12" customFormat="1" x14ac:dyDescent="0.3"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</row>
    <row r="200" spans="2:28" s="12" customFormat="1" x14ac:dyDescent="0.3"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</row>
    <row r="201" spans="2:28" s="12" customFormat="1" x14ac:dyDescent="0.3"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</row>
    <row r="202" spans="2:28" s="12" customFormat="1" x14ac:dyDescent="0.3"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</row>
    <row r="203" spans="2:28" s="12" customFormat="1" x14ac:dyDescent="0.3"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</row>
    <row r="204" spans="2:28" s="12" customFormat="1" x14ac:dyDescent="0.3"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79"/>
    </row>
    <row r="205" spans="2:28" s="12" customFormat="1" x14ac:dyDescent="0.3"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79"/>
    </row>
    <row r="206" spans="2:28" s="12" customFormat="1" x14ac:dyDescent="0.3"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79"/>
    </row>
    <row r="207" spans="2:28" s="12" customFormat="1" x14ac:dyDescent="0.3"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79"/>
    </row>
    <row r="208" spans="2:28" s="12" customFormat="1" x14ac:dyDescent="0.3"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  <c r="AA208" s="79"/>
      <c r="AB208" s="79"/>
    </row>
    <row r="209" spans="2:28" s="12" customFormat="1" x14ac:dyDescent="0.3"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</row>
    <row r="210" spans="2:28" s="12" customFormat="1" x14ac:dyDescent="0.3"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79"/>
    </row>
    <row r="211" spans="2:28" s="12" customFormat="1" x14ac:dyDescent="0.3"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</row>
    <row r="212" spans="2:28" s="12" customFormat="1" x14ac:dyDescent="0.3"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</row>
    <row r="213" spans="2:28" s="12" customFormat="1" x14ac:dyDescent="0.3"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79"/>
    </row>
    <row r="214" spans="2:28" s="12" customFormat="1" x14ac:dyDescent="0.3"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</row>
    <row r="215" spans="2:28" s="12" customFormat="1" x14ac:dyDescent="0.3"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</row>
    <row r="216" spans="2:28" s="12" customFormat="1" x14ac:dyDescent="0.3"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</row>
    <row r="217" spans="2:28" s="12" customFormat="1" x14ac:dyDescent="0.3"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</row>
    <row r="218" spans="2:28" s="12" customFormat="1" x14ac:dyDescent="0.3"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</row>
    <row r="219" spans="2:28" s="12" customFormat="1" x14ac:dyDescent="0.3"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</row>
    <row r="220" spans="2:28" s="12" customFormat="1" x14ac:dyDescent="0.3"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</row>
    <row r="221" spans="2:28" s="12" customFormat="1" x14ac:dyDescent="0.3"/>
    <row r="222" spans="2:28" s="12" customFormat="1" x14ac:dyDescent="0.3"/>
    <row r="223" spans="2:28" s="12" customFormat="1" x14ac:dyDescent="0.3"/>
    <row r="224" spans="2:28" s="12" customFormat="1" hidden="1" x14ac:dyDescent="0.3"/>
    <row r="225" s="12" customFormat="1" hidden="1" x14ac:dyDescent="0.3"/>
    <row r="226" s="12" customFormat="1" hidden="1" x14ac:dyDescent="0.3"/>
    <row r="227" s="12" customFormat="1" hidden="1" x14ac:dyDescent="0.3"/>
    <row r="228" s="12" customFormat="1" hidden="1" x14ac:dyDescent="0.3"/>
    <row r="229" s="12" customFormat="1" hidden="1" x14ac:dyDescent="0.3"/>
    <row r="230" s="12" customFormat="1" hidden="1" x14ac:dyDescent="0.3"/>
    <row r="231" s="12" customFormat="1" hidden="1" x14ac:dyDescent="0.3"/>
    <row r="232" s="12" customFormat="1" hidden="1" x14ac:dyDescent="0.3"/>
    <row r="233" s="12" customFormat="1" hidden="1" x14ac:dyDescent="0.3"/>
    <row r="234" s="12" customFormat="1" hidden="1" x14ac:dyDescent="0.3"/>
    <row r="235" s="12" customFormat="1" hidden="1" x14ac:dyDescent="0.3"/>
    <row r="236" s="12" customFormat="1" hidden="1" x14ac:dyDescent="0.3"/>
    <row r="237" s="12" customFormat="1" hidden="1" x14ac:dyDescent="0.3"/>
    <row r="238" s="12" customFormat="1" hidden="1" x14ac:dyDescent="0.3"/>
    <row r="239" s="12" customFormat="1" hidden="1" x14ac:dyDescent="0.3"/>
    <row r="240" s="12" customFormat="1" hidden="1" x14ac:dyDescent="0.3"/>
    <row r="241" s="12" customFormat="1" hidden="1" x14ac:dyDescent="0.3"/>
    <row r="242" s="12" customFormat="1" hidden="1" x14ac:dyDescent="0.3"/>
    <row r="243" s="12" customFormat="1" hidden="1" x14ac:dyDescent="0.3"/>
    <row r="244" s="12" customFormat="1" hidden="1" x14ac:dyDescent="0.3"/>
    <row r="245" s="12" customFormat="1" hidden="1" x14ac:dyDescent="0.3"/>
    <row r="246" s="12" customFormat="1" hidden="1" x14ac:dyDescent="0.3"/>
    <row r="247" s="12" customFormat="1" hidden="1" x14ac:dyDescent="0.3"/>
    <row r="248" s="12" customFormat="1" hidden="1" x14ac:dyDescent="0.3"/>
    <row r="249" s="12" customFormat="1" hidden="1" x14ac:dyDescent="0.3"/>
    <row r="250" s="12" customFormat="1" hidden="1" x14ac:dyDescent="0.3"/>
    <row r="251" s="12" customFormat="1" hidden="1" x14ac:dyDescent="0.3"/>
    <row r="252" s="12" customFormat="1" hidden="1" x14ac:dyDescent="0.3"/>
    <row r="253" s="12" customFormat="1" hidden="1" x14ac:dyDescent="0.3"/>
    <row r="254" s="12" customFormat="1" hidden="1" x14ac:dyDescent="0.3"/>
    <row r="255" s="12" customFormat="1" hidden="1" x14ac:dyDescent="0.3"/>
    <row r="256" s="12" customFormat="1" hidden="1" x14ac:dyDescent="0.3"/>
    <row r="257" s="12" customFormat="1" hidden="1" x14ac:dyDescent="0.3"/>
    <row r="258" s="12" customFormat="1" hidden="1" x14ac:dyDescent="0.3"/>
    <row r="259" s="12" customFormat="1" hidden="1" x14ac:dyDescent="0.3"/>
    <row r="260" s="12" customFormat="1" hidden="1" x14ac:dyDescent="0.3"/>
    <row r="261" s="12" customFormat="1" hidden="1" x14ac:dyDescent="0.3"/>
    <row r="262" s="12" customFormat="1" hidden="1" x14ac:dyDescent="0.3"/>
    <row r="263" s="12" customFormat="1" hidden="1" x14ac:dyDescent="0.3"/>
    <row r="264" s="12" customFormat="1" hidden="1" x14ac:dyDescent="0.3"/>
    <row r="265" s="12" customFormat="1" hidden="1" x14ac:dyDescent="0.3"/>
    <row r="266" s="12" customFormat="1" hidden="1" x14ac:dyDescent="0.3"/>
    <row r="267" s="12" customFormat="1" hidden="1" x14ac:dyDescent="0.3"/>
    <row r="268" s="12" customFormat="1" hidden="1" x14ac:dyDescent="0.3"/>
    <row r="269" s="12" customFormat="1" hidden="1" x14ac:dyDescent="0.3"/>
    <row r="270" s="12" customFormat="1" hidden="1" x14ac:dyDescent="0.3"/>
    <row r="271" s="12" customFormat="1" hidden="1" x14ac:dyDescent="0.3"/>
    <row r="272" s="12" customFormat="1" hidden="1" x14ac:dyDescent="0.3"/>
    <row r="273" s="12" customFormat="1" hidden="1" x14ac:dyDescent="0.3"/>
    <row r="274" s="12" customFormat="1" hidden="1" x14ac:dyDescent="0.3"/>
    <row r="275" s="12" customFormat="1" hidden="1" x14ac:dyDescent="0.3"/>
    <row r="276" s="12" customFormat="1" hidden="1" x14ac:dyDescent="0.3"/>
    <row r="277" s="12" customFormat="1" hidden="1" x14ac:dyDescent="0.3"/>
    <row r="278" s="12" customFormat="1" hidden="1" x14ac:dyDescent="0.3"/>
    <row r="279" s="12" customFormat="1" hidden="1" x14ac:dyDescent="0.3"/>
    <row r="280" s="12" customFormat="1" hidden="1" x14ac:dyDescent="0.3"/>
    <row r="281" s="12" customFormat="1" hidden="1" x14ac:dyDescent="0.3"/>
    <row r="282" s="12" customFormat="1" hidden="1" x14ac:dyDescent="0.3"/>
    <row r="283" s="12" customFormat="1" hidden="1" x14ac:dyDescent="0.3"/>
    <row r="284" s="12" customFormat="1" hidden="1" x14ac:dyDescent="0.3"/>
    <row r="285" s="12" customFormat="1" hidden="1" x14ac:dyDescent="0.3"/>
    <row r="286" s="12" customFormat="1" hidden="1" x14ac:dyDescent="0.3"/>
    <row r="287" s="12" customFormat="1" hidden="1" x14ac:dyDescent="0.3"/>
    <row r="288" s="12" customFormat="1" hidden="1" x14ac:dyDescent="0.3"/>
    <row r="289" s="12" customFormat="1" hidden="1" x14ac:dyDescent="0.3"/>
    <row r="290" s="12" customFormat="1" hidden="1" x14ac:dyDescent="0.3"/>
    <row r="291" s="12" customFormat="1" hidden="1" x14ac:dyDescent="0.3"/>
    <row r="292" s="12" customFormat="1" hidden="1" x14ac:dyDescent="0.3"/>
    <row r="293" s="12" customFormat="1" hidden="1" x14ac:dyDescent="0.3"/>
    <row r="294" s="12" customFormat="1" hidden="1" x14ac:dyDescent="0.3"/>
    <row r="295" s="12" customFormat="1" hidden="1" x14ac:dyDescent="0.3"/>
    <row r="296" s="12" customFormat="1" hidden="1" x14ac:dyDescent="0.3"/>
    <row r="297" s="12" customFormat="1" hidden="1" x14ac:dyDescent="0.3"/>
    <row r="298" s="12" customFormat="1" hidden="1" x14ac:dyDescent="0.3"/>
    <row r="299" s="12" customFormat="1" hidden="1" x14ac:dyDescent="0.3"/>
    <row r="300" s="12" customFormat="1" hidden="1" x14ac:dyDescent="0.3"/>
    <row r="301" s="12" customFormat="1" hidden="1" x14ac:dyDescent="0.3"/>
    <row r="302" s="12" customFormat="1" hidden="1" x14ac:dyDescent="0.3"/>
    <row r="303" s="12" customFormat="1" hidden="1" x14ac:dyDescent="0.3"/>
    <row r="304" s="12" customFormat="1" hidden="1" x14ac:dyDescent="0.3"/>
    <row r="305" s="12" customFormat="1" hidden="1" x14ac:dyDescent="0.3"/>
    <row r="306" s="12" customFormat="1" hidden="1" x14ac:dyDescent="0.3"/>
    <row r="307" s="12" customFormat="1" hidden="1" x14ac:dyDescent="0.3"/>
    <row r="308" s="12" customFormat="1" hidden="1" x14ac:dyDescent="0.3"/>
    <row r="309" s="12" customFormat="1" hidden="1" x14ac:dyDescent="0.3"/>
    <row r="310" s="12" customFormat="1" hidden="1" x14ac:dyDescent="0.3"/>
    <row r="311" s="12" customFormat="1" hidden="1" x14ac:dyDescent="0.3"/>
    <row r="312" s="12" customFormat="1" hidden="1" x14ac:dyDescent="0.3"/>
    <row r="313" s="12" customFormat="1" hidden="1" x14ac:dyDescent="0.3"/>
    <row r="314" s="12" customFormat="1" hidden="1" x14ac:dyDescent="0.3"/>
    <row r="315" s="12" customFormat="1" hidden="1" x14ac:dyDescent="0.3"/>
    <row r="316" s="12" customFormat="1" hidden="1" x14ac:dyDescent="0.3"/>
    <row r="317" s="12" customFormat="1" hidden="1" x14ac:dyDescent="0.3"/>
    <row r="318" s="12" customFormat="1" hidden="1" x14ac:dyDescent="0.3"/>
    <row r="319" s="12" customFormat="1" hidden="1" x14ac:dyDescent="0.3"/>
    <row r="320" s="12" customFormat="1" hidden="1" x14ac:dyDescent="0.3"/>
    <row r="321" s="12" customFormat="1" hidden="1" x14ac:dyDescent="0.3"/>
    <row r="322" s="12" customFormat="1" hidden="1" x14ac:dyDescent="0.3"/>
    <row r="323" s="12" customFormat="1" hidden="1" x14ac:dyDescent="0.3"/>
    <row r="324" s="12" customFormat="1" hidden="1" x14ac:dyDescent="0.3"/>
    <row r="325" s="12" customFormat="1" hidden="1" x14ac:dyDescent="0.3"/>
    <row r="326" s="12" customFormat="1" hidden="1" x14ac:dyDescent="0.3"/>
    <row r="327" s="12" customFormat="1" hidden="1" x14ac:dyDescent="0.3"/>
    <row r="328" s="12" customFormat="1" hidden="1" x14ac:dyDescent="0.3"/>
    <row r="329" s="12" customFormat="1" hidden="1" x14ac:dyDescent="0.3"/>
    <row r="330" s="12" customFormat="1" hidden="1" x14ac:dyDescent="0.3"/>
    <row r="331" s="12" customFormat="1" hidden="1" x14ac:dyDescent="0.3"/>
    <row r="332" s="12" customFormat="1" hidden="1" x14ac:dyDescent="0.3"/>
    <row r="333" s="12" customFormat="1" hidden="1" x14ac:dyDescent="0.3"/>
    <row r="334" s="12" customFormat="1" hidden="1" x14ac:dyDescent="0.3"/>
    <row r="335" s="12" customFormat="1" hidden="1" x14ac:dyDescent="0.3"/>
    <row r="336" s="12" customFormat="1" hidden="1" x14ac:dyDescent="0.3"/>
    <row r="337" s="12" customFormat="1" hidden="1" x14ac:dyDescent="0.3"/>
    <row r="338" s="12" customFormat="1" hidden="1" x14ac:dyDescent="0.3"/>
    <row r="339" s="12" customFormat="1" hidden="1" x14ac:dyDescent="0.3"/>
    <row r="340" s="12" customFormat="1" hidden="1" x14ac:dyDescent="0.3"/>
    <row r="341" s="12" customFormat="1" hidden="1" x14ac:dyDescent="0.3"/>
    <row r="342" s="12" customFormat="1" hidden="1" x14ac:dyDescent="0.3"/>
    <row r="343" s="12" customFormat="1" hidden="1" x14ac:dyDescent="0.3"/>
    <row r="344" s="12" customFormat="1" hidden="1" x14ac:dyDescent="0.3"/>
    <row r="345" s="12" customFormat="1" hidden="1" x14ac:dyDescent="0.3"/>
    <row r="346" s="12" customFormat="1" hidden="1" x14ac:dyDescent="0.3"/>
    <row r="347" s="12" customFormat="1" hidden="1" x14ac:dyDescent="0.3"/>
    <row r="348" s="12" customFormat="1" hidden="1" x14ac:dyDescent="0.3"/>
    <row r="349" s="12" customFormat="1" hidden="1" x14ac:dyDescent="0.3"/>
    <row r="350" s="12" customFormat="1" hidden="1" x14ac:dyDescent="0.3"/>
    <row r="351" s="12" customFormat="1" hidden="1" x14ac:dyDescent="0.3"/>
    <row r="352" s="12" customFormat="1" hidden="1" x14ac:dyDescent="0.3"/>
    <row r="353" s="12" customFormat="1" hidden="1" x14ac:dyDescent="0.3"/>
    <row r="354" s="12" customFormat="1" hidden="1" x14ac:dyDescent="0.3"/>
    <row r="355" s="12" customFormat="1" hidden="1" x14ac:dyDescent="0.3"/>
    <row r="356" s="12" customFormat="1" hidden="1" x14ac:dyDescent="0.3"/>
    <row r="357" s="12" customFormat="1" hidden="1" x14ac:dyDescent="0.3"/>
    <row r="358" s="12" customFormat="1" hidden="1" x14ac:dyDescent="0.3"/>
    <row r="359" s="12" customFormat="1" hidden="1" x14ac:dyDescent="0.3"/>
    <row r="360" s="12" customFormat="1" hidden="1" x14ac:dyDescent="0.3"/>
    <row r="361" s="12" customFormat="1" hidden="1" x14ac:dyDescent="0.3"/>
    <row r="362" s="12" customFormat="1" hidden="1" x14ac:dyDescent="0.3"/>
    <row r="363" s="12" customFormat="1" hidden="1" x14ac:dyDescent="0.3"/>
    <row r="364" s="12" customFormat="1" hidden="1" x14ac:dyDescent="0.3"/>
    <row r="365" s="12" customFormat="1" hidden="1" x14ac:dyDescent="0.3"/>
    <row r="366" s="12" customFormat="1" hidden="1" x14ac:dyDescent="0.3"/>
    <row r="367" s="12" customFormat="1" hidden="1" x14ac:dyDescent="0.3"/>
    <row r="368" s="12" customFormat="1" hidden="1" x14ac:dyDescent="0.3"/>
    <row r="369" s="12" customFormat="1" hidden="1" x14ac:dyDescent="0.3"/>
    <row r="370" s="12" customFormat="1" hidden="1" x14ac:dyDescent="0.3"/>
    <row r="371" s="12" customFormat="1" hidden="1" x14ac:dyDescent="0.3"/>
    <row r="372" s="12" customFormat="1" hidden="1" x14ac:dyDescent="0.3"/>
    <row r="373" s="12" customFormat="1" hidden="1" x14ac:dyDescent="0.3"/>
    <row r="374" s="12" customFormat="1" hidden="1" x14ac:dyDescent="0.3"/>
    <row r="375" s="12" customFormat="1" hidden="1" x14ac:dyDescent="0.3"/>
    <row r="376" s="12" customFormat="1" hidden="1" x14ac:dyDescent="0.3"/>
    <row r="377" s="12" customFormat="1" hidden="1" x14ac:dyDescent="0.3"/>
    <row r="378" s="12" customFormat="1" hidden="1" x14ac:dyDescent="0.3"/>
    <row r="379" s="12" customFormat="1" hidden="1" x14ac:dyDescent="0.3"/>
    <row r="380" s="12" customFormat="1" hidden="1" x14ac:dyDescent="0.3"/>
    <row r="381" s="12" customFormat="1" hidden="1" x14ac:dyDescent="0.3"/>
    <row r="382" s="12" customFormat="1" hidden="1" x14ac:dyDescent="0.3"/>
    <row r="383" s="12" customFormat="1" hidden="1" x14ac:dyDescent="0.3"/>
    <row r="384" s="12" customFormat="1" hidden="1" x14ac:dyDescent="0.3"/>
    <row r="385" s="12" customFormat="1" hidden="1" x14ac:dyDescent="0.3"/>
    <row r="386" s="12" customFormat="1" hidden="1" x14ac:dyDescent="0.3"/>
    <row r="387" s="12" customFormat="1" hidden="1" x14ac:dyDescent="0.3"/>
    <row r="388" s="12" customFormat="1" hidden="1" x14ac:dyDescent="0.3"/>
    <row r="389" s="12" customFormat="1" hidden="1" x14ac:dyDescent="0.3"/>
    <row r="390" s="12" customFormat="1" hidden="1" x14ac:dyDescent="0.3"/>
    <row r="391" s="12" customFormat="1" hidden="1" x14ac:dyDescent="0.3"/>
    <row r="392" s="12" customFormat="1" hidden="1" x14ac:dyDescent="0.3"/>
    <row r="393" s="12" customFormat="1" hidden="1" x14ac:dyDescent="0.3"/>
    <row r="394" s="12" customFormat="1" hidden="1" x14ac:dyDescent="0.3"/>
    <row r="395" s="12" customFormat="1" hidden="1" x14ac:dyDescent="0.3"/>
    <row r="396" s="12" customFormat="1" hidden="1" x14ac:dyDescent="0.3"/>
    <row r="397" s="12" customFormat="1" hidden="1" x14ac:dyDescent="0.3"/>
    <row r="398" s="12" customFormat="1" hidden="1" x14ac:dyDescent="0.3"/>
    <row r="399" s="12" customFormat="1" hidden="1" x14ac:dyDescent="0.3"/>
    <row r="400" s="12" customFormat="1" hidden="1" x14ac:dyDescent="0.3"/>
    <row r="401" s="12" customFormat="1" hidden="1" x14ac:dyDescent="0.3"/>
    <row r="402" s="12" customFormat="1" hidden="1" x14ac:dyDescent="0.3"/>
    <row r="403" s="12" customFormat="1" hidden="1" x14ac:dyDescent="0.3"/>
    <row r="404" s="12" customFormat="1" hidden="1" x14ac:dyDescent="0.3"/>
    <row r="405" s="12" customFormat="1" hidden="1" x14ac:dyDescent="0.3"/>
    <row r="406" s="12" customFormat="1" hidden="1" x14ac:dyDescent="0.3"/>
    <row r="407" s="12" customFormat="1" hidden="1" x14ac:dyDescent="0.3"/>
    <row r="408" s="12" customFormat="1" hidden="1" x14ac:dyDescent="0.3"/>
    <row r="409" s="12" customFormat="1" hidden="1" x14ac:dyDescent="0.3"/>
    <row r="410" s="12" customFormat="1" hidden="1" x14ac:dyDescent="0.3"/>
    <row r="411" s="12" customFormat="1" hidden="1" x14ac:dyDescent="0.3"/>
    <row r="412" s="12" customFormat="1" hidden="1" x14ac:dyDescent="0.3"/>
    <row r="413" s="12" customFormat="1" hidden="1" x14ac:dyDescent="0.3"/>
    <row r="414" s="12" customFormat="1" hidden="1" x14ac:dyDescent="0.3"/>
    <row r="415" s="12" customFormat="1" hidden="1" x14ac:dyDescent="0.3"/>
    <row r="416" s="12" customFormat="1" hidden="1" x14ac:dyDescent="0.3"/>
    <row r="417" s="12" customFormat="1" hidden="1" x14ac:dyDescent="0.3"/>
    <row r="418" s="12" customFormat="1" hidden="1" x14ac:dyDescent="0.3"/>
    <row r="419" s="12" customFormat="1" hidden="1" x14ac:dyDescent="0.3"/>
    <row r="420" s="12" customFormat="1" hidden="1" x14ac:dyDescent="0.3"/>
    <row r="421" s="12" customFormat="1" hidden="1" x14ac:dyDescent="0.3"/>
    <row r="422" s="12" customFormat="1" hidden="1" x14ac:dyDescent="0.3"/>
    <row r="423" s="12" customFormat="1" hidden="1" x14ac:dyDescent="0.3"/>
    <row r="424" s="12" customFormat="1" hidden="1" x14ac:dyDescent="0.3"/>
    <row r="425" s="12" customFormat="1" hidden="1" x14ac:dyDescent="0.3"/>
    <row r="426" s="12" customFormat="1" hidden="1" x14ac:dyDescent="0.3"/>
    <row r="427" s="12" customFormat="1" hidden="1" x14ac:dyDescent="0.3"/>
    <row r="428" s="12" customFormat="1" hidden="1" x14ac:dyDescent="0.3"/>
    <row r="429" s="12" customFormat="1" hidden="1" x14ac:dyDescent="0.3"/>
    <row r="430" s="12" customFormat="1" hidden="1" x14ac:dyDescent="0.3"/>
    <row r="431" s="12" customFormat="1" hidden="1" x14ac:dyDescent="0.3"/>
    <row r="432" s="12" customFormat="1" hidden="1" x14ac:dyDescent="0.3"/>
    <row r="433" s="12" customFormat="1" hidden="1" x14ac:dyDescent="0.3"/>
    <row r="434" s="12" customFormat="1" hidden="1" x14ac:dyDescent="0.3"/>
    <row r="435" s="12" customFormat="1" hidden="1" x14ac:dyDescent="0.3"/>
    <row r="436" s="12" customFormat="1" hidden="1" x14ac:dyDescent="0.3"/>
    <row r="437" s="12" customFormat="1" hidden="1" x14ac:dyDescent="0.3"/>
    <row r="438" s="12" customFormat="1" hidden="1" x14ac:dyDescent="0.3"/>
    <row r="439" s="12" customFormat="1" hidden="1" x14ac:dyDescent="0.3"/>
    <row r="440" s="12" customFormat="1" hidden="1" x14ac:dyDescent="0.3"/>
    <row r="441" s="12" customFormat="1" hidden="1" x14ac:dyDescent="0.3"/>
    <row r="442" s="12" customFormat="1" hidden="1" x14ac:dyDescent="0.3"/>
    <row r="443" s="12" customFormat="1" hidden="1" x14ac:dyDescent="0.3"/>
    <row r="444" s="12" customFormat="1" hidden="1" x14ac:dyDescent="0.3"/>
    <row r="445" s="12" customFormat="1" hidden="1" x14ac:dyDescent="0.3"/>
    <row r="446" s="12" customFormat="1" hidden="1" x14ac:dyDescent="0.3"/>
    <row r="447" s="12" customFormat="1" hidden="1" x14ac:dyDescent="0.3"/>
    <row r="448" s="12" customFormat="1" hidden="1" x14ac:dyDescent="0.3"/>
    <row r="449" s="12" customFormat="1" hidden="1" x14ac:dyDescent="0.3"/>
    <row r="450" s="12" customFormat="1" hidden="1" x14ac:dyDescent="0.3"/>
    <row r="451" s="12" customFormat="1" hidden="1" x14ac:dyDescent="0.3"/>
    <row r="452" s="12" customFormat="1" hidden="1" x14ac:dyDescent="0.3"/>
    <row r="453" s="12" customFormat="1" hidden="1" x14ac:dyDescent="0.3"/>
    <row r="454" ht="14.4" customHeight="1" x14ac:dyDescent="0.3"/>
    <row r="455" ht="14.4" customHeight="1" x14ac:dyDescent="0.3"/>
    <row r="456" ht="14.4" customHeight="1" x14ac:dyDescent="0.3"/>
  </sheetData>
  <sheetProtection algorithmName="SHA-512" hashValue="Tj/a3K9GcLx/yuVbEPK4iGKe8HlLN6VWFAIMD97YkBuZgzq9z4h+/S1TgxeVL63QW6Dy/Z6l2qvlYd6Yc5hhLw==" saltValue="7HJ5N9+nECUtoCFuO00TVA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62"/>
  <sheetViews>
    <sheetView showGridLines="0" zoomScale="75" zoomScaleNormal="75" workbookViewId="0">
      <selection activeCell="B3" sqref="B3"/>
    </sheetView>
  </sheetViews>
  <sheetFormatPr defaultColWidth="0" defaultRowHeight="0" customHeight="1" zeroHeight="1" x14ac:dyDescent="0.3"/>
  <cols>
    <col min="1" max="1" width="4" style="33" customWidth="1"/>
    <col min="2" max="2" width="60.109375" style="33" customWidth="1"/>
    <col min="3" max="3" width="11.6640625" style="33" customWidth="1"/>
    <col min="4" max="4" width="7.6640625" style="33" customWidth="1"/>
    <col min="5" max="5" width="10" style="33" customWidth="1"/>
    <col min="6" max="7" width="12" style="33" customWidth="1"/>
    <col min="8" max="8" width="5.109375" style="123" customWidth="1"/>
    <col min="9" max="9" width="6.88671875" style="33" customWidth="1"/>
    <col min="10" max="10" width="5.109375" style="123" customWidth="1"/>
    <col min="11" max="11" width="6.88671875" style="33" customWidth="1"/>
    <col min="12" max="12" width="5.109375" style="123" customWidth="1"/>
    <col min="13" max="13" width="6.88671875" style="33" customWidth="1"/>
    <col min="14" max="14" width="5.109375" style="123" customWidth="1"/>
    <col min="15" max="15" width="6.88671875" style="33" customWidth="1"/>
    <col min="16" max="16" width="11.5546875" style="33" customWidth="1"/>
    <col min="17" max="17" width="5.109375" style="123" customWidth="1"/>
    <col min="18" max="18" width="6.88671875" style="33" customWidth="1"/>
    <col min="19" max="19" width="5.109375" style="123" customWidth="1"/>
    <col min="20" max="20" width="6.88671875" style="33" customWidth="1"/>
    <col min="21" max="21" width="5.109375" style="123" customWidth="1"/>
    <col min="22" max="22" width="6.88671875" style="33" customWidth="1"/>
    <col min="23" max="23" width="5.109375" style="123" customWidth="1"/>
    <col min="24" max="24" width="6.88671875" style="33" customWidth="1"/>
    <col min="25" max="25" width="11.5546875" style="33" customWidth="1"/>
    <col min="26" max="27" width="10.6640625" style="33" customWidth="1"/>
    <col min="28" max="28" width="9.109375" style="33" customWidth="1"/>
    <col min="29" max="30" width="0" style="33" hidden="1" customWidth="1"/>
    <col min="31" max="16384" width="9.109375" style="33" hidden="1"/>
  </cols>
  <sheetData>
    <row r="1" spans="1:28" ht="35.25" customHeight="1" x14ac:dyDescent="0.3">
      <c r="A1" s="10"/>
      <c r="B1" s="97" t="s">
        <v>101</v>
      </c>
      <c r="C1" s="84"/>
      <c r="D1" s="84"/>
      <c r="E1" s="84"/>
      <c r="F1" s="84"/>
      <c r="G1" s="84"/>
      <c r="H1" s="117"/>
      <c r="I1" s="84"/>
      <c r="J1" s="117"/>
      <c r="K1" s="84"/>
      <c r="L1" s="117"/>
      <c r="M1" s="84"/>
      <c r="N1" s="117"/>
      <c r="O1" s="84"/>
      <c r="P1" s="84"/>
      <c r="Q1" s="117"/>
      <c r="R1" s="84"/>
      <c r="S1" s="117"/>
      <c r="T1" s="84"/>
      <c r="U1" s="117"/>
      <c r="V1" s="84"/>
      <c r="W1" s="117"/>
      <c r="X1" s="84"/>
      <c r="Y1" s="84"/>
      <c r="Z1" s="84"/>
      <c r="AA1" s="84"/>
      <c r="AB1" s="84"/>
    </row>
    <row r="2" spans="1:28" s="42" customFormat="1" ht="5.0999999999999996" customHeight="1" x14ac:dyDescent="0.3">
      <c r="B2" s="124"/>
      <c r="C2" s="125"/>
      <c r="D2" s="125"/>
      <c r="E2" s="125"/>
      <c r="F2" s="125"/>
      <c r="G2" s="125"/>
      <c r="H2" s="126"/>
      <c r="I2" s="125"/>
      <c r="J2" s="126"/>
      <c r="K2" s="125"/>
      <c r="L2" s="126"/>
      <c r="M2" s="125"/>
      <c r="N2" s="126"/>
      <c r="O2" s="125"/>
      <c r="P2" s="125"/>
      <c r="Q2" s="126"/>
      <c r="R2" s="125"/>
      <c r="S2" s="126"/>
      <c r="T2" s="125"/>
      <c r="U2" s="126"/>
      <c r="V2" s="125"/>
      <c r="W2" s="126"/>
      <c r="X2" s="125"/>
      <c r="Y2" s="125"/>
      <c r="AB2" s="125"/>
    </row>
    <row r="3" spans="1:28" s="93" customFormat="1" ht="31.5" customHeight="1" x14ac:dyDescent="0.35">
      <c r="B3" s="286" t="s">
        <v>95</v>
      </c>
      <c r="C3" s="94"/>
      <c r="D3" s="94"/>
      <c r="E3" s="94"/>
      <c r="F3" s="94"/>
      <c r="H3" s="118"/>
      <c r="I3" s="94"/>
      <c r="J3" s="118"/>
      <c r="K3" s="94"/>
      <c r="L3" s="118"/>
      <c r="M3" s="95"/>
      <c r="N3" s="118"/>
      <c r="O3" s="95"/>
      <c r="P3" s="95"/>
      <c r="Q3" s="118"/>
      <c r="R3" s="95"/>
      <c r="S3" s="118"/>
      <c r="T3" s="95"/>
      <c r="U3" s="118"/>
      <c r="V3" s="95"/>
      <c r="W3" s="118"/>
      <c r="X3" s="95"/>
      <c r="Y3" s="95"/>
      <c r="Z3" s="94"/>
      <c r="AA3" s="96"/>
    </row>
    <row r="4" spans="1:28" ht="35.4" customHeight="1" thickBot="1" x14ac:dyDescent="0.5">
      <c r="A4" s="181"/>
      <c r="B4" s="128" t="s">
        <v>203</v>
      </c>
      <c r="C4" s="13"/>
      <c r="D4" s="13"/>
      <c r="E4" s="13"/>
      <c r="F4" s="43"/>
      <c r="G4" s="13"/>
      <c r="H4" s="119"/>
      <c r="I4" s="13"/>
      <c r="J4" s="119"/>
      <c r="K4" s="13"/>
      <c r="L4" s="119"/>
      <c r="M4" s="14"/>
      <c r="N4" s="119"/>
      <c r="O4" s="14"/>
      <c r="P4" s="14"/>
      <c r="Q4" s="119"/>
      <c r="R4" s="14"/>
      <c r="S4" s="119"/>
      <c r="T4" s="14"/>
      <c r="U4" s="119"/>
      <c r="V4" s="14"/>
      <c r="W4" s="119"/>
      <c r="X4" s="14"/>
      <c r="Y4" s="14"/>
      <c r="Z4" s="13"/>
      <c r="AA4" s="15"/>
    </row>
    <row r="5" spans="1:28" ht="30.75" customHeight="1" thickTop="1" thickBot="1" x14ac:dyDescent="0.35">
      <c r="A5" s="181"/>
      <c r="B5" s="338" t="s">
        <v>14</v>
      </c>
      <c r="C5" s="339" t="s">
        <v>18</v>
      </c>
      <c r="D5" s="339" t="s">
        <v>65</v>
      </c>
      <c r="E5" s="339" t="s">
        <v>19</v>
      </c>
      <c r="F5" s="343" t="s">
        <v>24</v>
      </c>
      <c r="G5" s="344"/>
      <c r="H5" s="343" t="s">
        <v>27</v>
      </c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3" t="s">
        <v>3</v>
      </c>
      <c r="AA5" s="344"/>
    </row>
    <row r="6" spans="1:28" ht="44.1" customHeight="1" thickTop="1" thickBot="1" x14ac:dyDescent="0.35">
      <c r="A6" s="181"/>
      <c r="B6" s="338"/>
      <c r="C6" s="340"/>
      <c r="D6" s="340"/>
      <c r="E6" s="340"/>
      <c r="F6" s="345" t="s">
        <v>25</v>
      </c>
      <c r="G6" s="347" t="s">
        <v>26</v>
      </c>
      <c r="H6" s="343" t="s">
        <v>32</v>
      </c>
      <c r="I6" s="349"/>
      <c r="J6" s="349"/>
      <c r="K6" s="349"/>
      <c r="L6" s="349"/>
      <c r="M6" s="349"/>
      <c r="N6" s="349"/>
      <c r="O6" s="349"/>
      <c r="P6" s="349"/>
      <c r="Q6" s="343" t="s">
        <v>31</v>
      </c>
      <c r="R6" s="349"/>
      <c r="S6" s="349"/>
      <c r="T6" s="349"/>
      <c r="U6" s="349"/>
      <c r="V6" s="349"/>
      <c r="W6" s="349"/>
      <c r="X6" s="349"/>
      <c r="Y6" s="349"/>
      <c r="Z6" s="345" t="s">
        <v>9</v>
      </c>
      <c r="AA6" s="347" t="s">
        <v>17</v>
      </c>
    </row>
    <row r="7" spans="1:28" ht="49.5" customHeight="1" thickTop="1" thickBot="1" x14ac:dyDescent="0.35">
      <c r="A7" s="181"/>
      <c r="B7" s="338"/>
      <c r="C7" s="341"/>
      <c r="D7" s="341"/>
      <c r="E7" s="341"/>
      <c r="F7" s="346"/>
      <c r="G7" s="348"/>
      <c r="H7" s="350" t="s">
        <v>117</v>
      </c>
      <c r="I7" s="351"/>
      <c r="J7" s="318" t="s">
        <v>28</v>
      </c>
      <c r="K7" s="318"/>
      <c r="L7" s="318" t="s">
        <v>29</v>
      </c>
      <c r="M7" s="318"/>
      <c r="N7" s="317" t="s">
        <v>30</v>
      </c>
      <c r="O7" s="318"/>
      <c r="P7" s="288" t="s">
        <v>118</v>
      </c>
      <c r="Q7" s="350" t="s">
        <v>117</v>
      </c>
      <c r="R7" s="351"/>
      <c r="S7" s="318" t="s">
        <v>28</v>
      </c>
      <c r="T7" s="318"/>
      <c r="U7" s="318" t="s">
        <v>29</v>
      </c>
      <c r="V7" s="318"/>
      <c r="W7" s="317" t="s">
        <v>30</v>
      </c>
      <c r="X7" s="318"/>
      <c r="Y7" s="288" t="s">
        <v>118</v>
      </c>
      <c r="Z7" s="346"/>
      <c r="AA7" s="348"/>
    </row>
    <row r="8" spans="1:28" s="8" customFormat="1" ht="21.75" customHeight="1" thickTop="1" thickBot="1" x14ac:dyDescent="0.35">
      <c r="A8" s="435"/>
      <c r="B8" s="436" t="str">
        <f>INDEX(Q3_Adult,14,2)</f>
        <v>Bristol, Bristol Heart Institute</v>
      </c>
      <c r="C8" s="436" t="s">
        <v>20</v>
      </c>
      <c r="D8" s="437">
        <v>1</v>
      </c>
      <c r="E8" s="436" t="s">
        <v>21</v>
      </c>
      <c r="F8" s="65">
        <f>INDEX(Q3_Adult,14,7)</f>
        <v>26</v>
      </c>
      <c r="G8" s="71" t="str">
        <f>INDEX(Q3_Adult,14,8)</f>
        <v>N/A</v>
      </c>
      <c r="H8" s="213">
        <f>INDEX(Q3_Adult,14,9)</f>
        <v>458</v>
      </c>
      <c r="I8" s="203">
        <f>IFERROR(H8/P8,0)</f>
        <v>0.40566873339238263</v>
      </c>
      <c r="J8" s="204">
        <f>INDEX(Q3_Adult,14,10)</f>
        <v>392</v>
      </c>
      <c r="K8" s="203">
        <f>IFERROR(J8/P8,0)</f>
        <v>0.34720992028343667</v>
      </c>
      <c r="L8" s="204">
        <f>INDEX(Q3_Adult,14,11)</f>
        <v>229</v>
      </c>
      <c r="M8" s="203">
        <f>IFERROR(L8/P8,0)</f>
        <v>0.20283436669619131</v>
      </c>
      <c r="N8" s="204">
        <f>INDEX(Q3_Adult,14,12)</f>
        <v>50</v>
      </c>
      <c r="O8" s="203">
        <f>IFERROR(N8/P8,0)</f>
        <v>4.4286979627989373E-2</v>
      </c>
      <c r="P8" s="205">
        <f>INDEX(Q3_Adult,14,13)</f>
        <v>1129</v>
      </c>
      <c r="Q8" s="202" t="str">
        <f>INDEX(Q3_Adult,14,15)</f>
        <v>N/A</v>
      </c>
      <c r="R8" s="203">
        <f>IFERROR(Q8/Y8,0)</f>
        <v>0</v>
      </c>
      <c r="S8" s="204" t="str">
        <f>INDEX(Q3_Adult,14,16)</f>
        <v>N/A</v>
      </c>
      <c r="T8" s="203">
        <f>IFERROR(S8/Y8,0)</f>
        <v>0</v>
      </c>
      <c r="U8" s="438" t="str">
        <f>INDEX(Q3_Adult,14,17)</f>
        <v>N/A</v>
      </c>
      <c r="V8" s="203">
        <f>IFERROR(U8/Y8,0)</f>
        <v>0</v>
      </c>
      <c r="W8" s="204" t="str">
        <f>INDEX(Q3_Adult,14,18)</f>
        <v>N/A</v>
      </c>
      <c r="X8" s="203">
        <f>IFERROR(W8/Y8,0)</f>
        <v>0</v>
      </c>
      <c r="Y8" s="114">
        <f>INDEX(Q3_Adult,14,19)</f>
        <v>0</v>
      </c>
      <c r="Z8" s="67">
        <f>INDEX(Q3_Adult,14,21)</f>
        <v>0.12</v>
      </c>
      <c r="AA8" s="68" t="str">
        <f>INDEX(Q3_Adult,14,22)</f>
        <v>N/A</v>
      </c>
    </row>
    <row r="9" spans="1:28" s="8" customFormat="1" ht="21.75" customHeight="1" thickTop="1" thickBot="1" x14ac:dyDescent="0.35">
      <c r="A9" s="435"/>
      <c r="B9" s="439" t="str">
        <f>INDEX(Q3_Adult,6,2)</f>
        <v>University Hospital Wales</v>
      </c>
      <c r="C9" s="439" t="s">
        <v>20</v>
      </c>
      <c r="D9" s="440">
        <v>2</v>
      </c>
      <c r="E9" s="439" t="s">
        <v>22</v>
      </c>
      <c r="F9" s="66">
        <f>INDEX(Q3_Adult,6,7)</f>
        <v>20</v>
      </c>
      <c r="G9" s="72">
        <f>INDEX(Q3_Adult,6,8)</f>
        <v>0</v>
      </c>
      <c r="H9" s="207">
        <f>INDEX(Q3_Adult,6,9)</f>
        <v>16</v>
      </c>
      <c r="I9" s="208">
        <f>IFERROR(H9/P9,0)</f>
        <v>0.14814814814814814</v>
      </c>
      <c r="J9" s="209">
        <f>INDEX(Q3_Adult,6,10)</f>
        <v>27</v>
      </c>
      <c r="K9" s="208">
        <f>IFERROR(J9/P9,0)</f>
        <v>0.25</v>
      </c>
      <c r="L9" s="209">
        <f>INDEX(Q3_Adult,6,11)</f>
        <v>46</v>
      </c>
      <c r="M9" s="208">
        <f>IFERROR(L9/P9,0)</f>
        <v>0.42592592592592593</v>
      </c>
      <c r="N9" s="209">
        <f>INDEX(Q3_Adult,6,12)</f>
        <v>19</v>
      </c>
      <c r="O9" s="208">
        <f>IFERROR(N9/P9,0)</f>
        <v>0.17592592592592593</v>
      </c>
      <c r="P9" s="210">
        <f>INDEX(Q3_Adult,6,13)</f>
        <v>108</v>
      </c>
      <c r="Q9" s="211">
        <f>INDEX(Q3_Adult,6,15)</f>
        <v>0</v>
      </c>
      <c r="R9" s="208">
        <f>IFERROR(Q9/Y9,0)</f>
        <v>0</v>
      </c>
      <c r="S9" s="209">
        <f>INDEX(Q3_Adult,6,16)</f>
        <v>0</v>
      </c>
      <c r="T9" s="208">
        <f>IFERROR(S9/Y9,0)</f>
        <v>0</v>
      </c>
      <c r="U9" s="441">
        <f>INDEX(Q3_Adult,6,17)</f>
        <v>0</v>
      </c>
      <c r="V9" s="208">
        <f>IFERROR(U9/Y9,0)</f>
        <v>0</v>
      </c>
      <c r="W9" s="209">
        <f>INDEX(Q3_Adult,6,18)</f>
        <v>0</v>
      </c>
      <c r="X9" s="208">
        <f>IFERROR(W9/Y9,0)</f>
        <v>0</v>
      </c>
      <c r="Y9" s="115">
        <f>INDEX(Q3_Adult,6,19)</f>
        <v>0</v>
      </c>
      <c r="Z9" s="69">
        <f>INDEX(Q3_Adult,6,21)</f>
        <v>0.05</v>
      </c>
      <c r="AA9" s="70">
        <f>INDEX(Q3_Adult,6,22)</f>
        <v>0</v>
      </c>
    </row>
    <row r="10" spans="1:28" s="83" customFormat="1" ht="21.75" customHeight="1" thickTop="1" thickBot="1" x14ac:dyDescent="0.35">
      <c r="A10" s="442"/>
      <c r="B10" s="436" t="str">
        <f>INDEX(Q3_Adult,5,2)</f>
        <v>Aneurin Bevan UHB, Nevill Hall &amp; Royal Gwent Hospitals</v>
      </c>
      <c r="C10" s="436" t="s">
        <v>20</v>
      </c>
      <c r="D10" s="437">
        <v>3</v>
      </c>
      <c r="E10" s="436" t="s">
        <v>22</v>
      </c>
      <c r="F10" s="65">
        <f>INDEX(Q3_Adult,5,7)</f>
        <v>0</v>
      </c>
      <c r="G10" s="71">
        <f>INDEX(Q3_Adult,5,8)</f>
        <v>0</v>
      </c>
      <c r="H10" s="213">
        <f>INDEX(Q3_Adult,5,9)</f>
        <v>9</v>
      </c>
      <c r="I10" s="203">
        <f>IFERROR(H10/P10,0)</f>
        <v>0.375</v>
      </c>
      <c r="J10" s="204">
        <f>INDEX(Q3_Adult,5,10)</f>
        <v>9</v>
      </c>
      <c r="K10" s="203">
        <f>IFERROR(J10/P10,0)</f>
        <v>0.375</v>
      </c>
      <c r="L10" s="204">
        <f>INDEX(Q3_Adult,5,11)</f>
        <v>6</v>
      </c>
      <c r="M10" s="203">
        <f>IFERROR(L10/P10,0)</f>
        <v>0.25</v>
      </c>
      <c r="N10" s="204">
        <f>INDEX(Q3_Adult,5,12)</f>
        <v>0</v>
      </c>
      <c r="O10" s="203">
        <f>IFERROR(N10/P10,0)</f>
        <v>0</v>
      </c>
      <c r="P10" s="205">
        <f>INDEX(Q3_Adult,5,13)</f>
        <v>24</v>
      </c>
      <c r="Q10" s="202">
        <f>INDEX(Q3_Adult,5,15)</f>
        <v>134</v>
      </c>
      <c r="R10" s="203">
        <f>IFERROR(Q10/Y10,0)</f>
        <v>0.40853658536585363</v>
      </c>
      <c r="S10" s="204">
        <f>INDEX(Q3_Adult,5,16)</f>
        <v>17</v>
      </c>
      <c r="T10" s="203">
        <f>IFERROR(S10/Y10,0)</f>
        <v>5.1829268292682924E-2</v>
      </c>
      <c r="U10" s="438">
        <f>INDEX(Q3_Adult,5,17)</f>
        <v>46</v>
      </c>
      <c r="V10" s="203">
        <f>IFERROR(U10/Y10,0)</f>
        <v>0.1402439024390244</v>
      </c>
      <c r="W10" s="204">
        <f>INDEX(Q3_Adult,5,18)</f>
        <v>131</v>
      </c>
      <c r="X10" s="203">
        <f>IFERROR(W10/Y10,0)</f>
        <v>0.39939024390243905</v>
      </c>
      <c r="Y10" s="114">
        <f>INDEX(Q3_Adult,5,19)</f>
        <v>328</v>
      </c>
      <c r="Z10" s="67">
        <f>INDEX(Q3_Adult,5,21)</f>
        <v>0</v>
      </c>
      <c r="AA10" s="68">
        <f>INDEX(Q3_Adult,5,22)</f>
        <v>0</v>
      </c>
    </row>
    <row r="11" spans="1:28" s="8" customFormat="1" ht="21.75" customHeight="1" thickTop="1" thickBot="1" x14ac:dyDescent="0.35">
      <c r="A11" s="435"/>
      <c r="B11" s="439" t="str">
        <f>INDEX(Q3_Adult,7,2)</f>
        <v>Cwm Taf Morgannwg UHB, Princess of Wales Hospital</v>
      </c>
      <c r="C11" s="439" t="s">
        <v>20</v>
      </c>
      <c r="D11" s="440">
        <v>3</v>
      </c>
      <c r="E11" s="439" t="s">
        <v>22</v>
      </c>
      <c r="F11" s="66">
        <f>INDEX(Q3_Adult,7,7)</f>
        <v>0</v>
      </c>
      <c r="G11" s="72">
        <f>INDEX(Q3_Adult,7,8)</f>
        <v>0</v>
      </c>
      <c r="H11" s="207">
        <f>INDEX(Q3_Adult,7,9)</f>
        <v>0</v>
      </c>
      <c r="I11" s="208">
        <f t="shared" ref="I11:I24" si="0">IFERROR(H11/P11,0)</f>
        <v>0</v>
      </c>
      <c r="J11" s="209">
        <f>INDEX(Q3_Adult,7,10)</f>
        <v>0</v>
      </c>
      <c r="K11" s="208">
        <f t="shared" ref="K11:K24" si="1">IFERROR(J11/P11,0)</f>
        <v>0</v>
      </c>
      <c r="L11" s="209">
        <f>INDEX(Q3_Adult,7,11)</f>
        <v>0</v>
      </c>
      <c r="M11" s="208">
        <f t="shared" ref="M11:M24" si="2">IFERROR(L11/P11,0)</f>
        <v>0</v>
      </c>
      <c r="N11" s="209">
        <f>INDEX(Q3_Adult,7,12)</f>
        <v>0</v>
      </c>
      <c r="O11" s="208">
        <f t="shared" ref="O11:O24" si="3">IFERROR(N11/P11,0)</f>
        <v>0</v>
      </c>
      <c r="P11" s="210">
        <f>INDEX(Q3_Adult,7,13)</f>
        <v>0</v>
      </c>
      <c r="Q11" s="211">
        <f>INDEX(Q3_Adult,7,15)</f>
        <v>21</v>
      </c>
      <c r="R11" s="208">
        <f t="shared" ref="R11:R24" si="4">IFERROR(Q11/Y11,0)</f>
        <v>0.10824742268041238</v>
      </c>
      <c r="S11" s="209">
        <f>INDEX(Q3_Adult,7,16)</f>
        <v>14</v>
      </c>
      <c r="T11" s="208">
        <f t="shared" ref="T11:T24" si="5">IFERROR(S11/Y11,0)</f>
        <v>7.2164948453608241E-2</v>
      </c>
      <c r="U11" s="441">
        <f>INDEX(Q3_Adult,7,17)</f>
        <v>41</v>
      </c>
      <c r="V11" s="208">
        <f t="shared" ref="V11:V24" si="6">IFERROR(U11/Y11,0)</f>
        <v>0.21134020618556701</v>
      </c>
      <c r="W11" s="209">
        <f>INDEX(Q3_Adult,7,18)</f>
        <v>118</v>
      </c>
      <c r="X11" s="208">
        <f t="shared" ref="X11:X24" si="7">IFERROR(W11/Y11,0)</f>
        <v>0.60824742268041232</v>
      </c>
      <c r="Y11" s="115">
        <f>INDEX(Q3_Adult,7,19)</f>
        <v>194</v>
      </c>
      <c r="Z11" s="69">
        <f>INDEX(Q3_Adult,7,21)</f>
        <v>0</v>
      </c>
      <c r="AA11" s="70">
        <f>INDEX(Q3_Adult,7,22)</f>
        <v>0</v>
      </c>
    </row>
    <row r="12" spans="1:28" s="8" customFormat="1" ht="21.75" customHeight="1" thickTop="1" thickBot="1" x14ac:dyDescent="0.35">
      <c r="A12" s="435"/>
      <c r="B12" s="436" t="str">
        <f>INDEX(Q3_Adult,8,2)</f>
        <v xml:space="preserve">Cwm Taf Morgannwg UHB, Royal Glamorgan Hospital </v>
      </c>
      <c r="C12" s="436" t="s">
        <v>20</v>
      </c>
      <c r="D12" s="437">
        <v>3</v>
      </c>
      <c r="E12" s="436" t="s">
        <v>22</v>
      </c>
      <c r="F12" s="65">
        <f>INDEX(Q3_Adult,8,7)</f>
        <v>0</v>
      </c>
      <c r="G12" s="71">
        <f>INDEX(Q3_Adult,8,8)</f>
        <v>0</v>
      </c>
      <c r="H12" s="213">
        <f>INDEX(Q3_Adult,8,9)</f>
        <v>0</v>
      </c>
      <c r="I12" s="203">
        <f t="shared" si="0"/>
        <v>0</v>
      </c>
      <c r="J12" s="204">
        <f>INDEX(Q3_Adult,8,10)</f>
        <v>0</v>
      </c>
      <c r="K12" s="203">
        <f t="shared" si="1"/>
        <v>0</v>
      </c>
      <c r="L12" s="204">
        <f>INDEX(Q3_Adult,8,11)</f>
        <v>0</v>
      </c>
      <c r="M12" s="203">
        <f t="shared" si="2"/>
        <v>0</v>
      </c>
      <c r="N12" s="204">
        <f>INDEX(Q3_Adult,8,12)</f>
        <v>0</v>
      </c>
      <c r="O12" s="203">
        <f t="shared" si="3"/>
        <v>0</v>
      </c>
      <c r="P12" s="205">
        <f>INDEX(Q3_Adult,8,13)</f>
        <v>0</v>
      </c>
      <c r="Q12" s="202">
        <f>INDEX(Q3_Adult,8,15)</f>
        <v>0</v>
      </c>
      <c r="R12" s="203">
        <f t="shared" si="4"/>
        <v>0</v>
      </c>
      <c r="S12" s="204">
        <f>INDEX(Q3_Adult,8,16)</f>
        <v>0</v>
      </c>
      <c r="T12" s="203">
        <f t="shared" si="5"/>
        <v>0</v>
      </c>
      <c r="U12" s="438">
        <f>INDEX(Q3_Adult,8,17)</f>
        <v>0</v>
      </c>
      <c r="V12" s="203">
        <f t="shared" si="6"/>
        <v>0</v>
      </c>
      <c r="W12" s="204">
        <f>INDEX(Q3_Adult,8,18)</f>
        <v>0</v>
      </c>
      <c r="X12" s="203">
        <f t="shared" si="7"/>
        <v>0</v>
      </c>
      <c r="Y12" s="114">
        <f>INDEX(Q3_Adult,8,19)</f>
        <v>0</v>
      </c>
      <c r="Z12" s="67">
        <f>INDEX(Q3_Adult,8,21)</f>
        <v>0.09</v>
      </c>
      <c r="AA12" s="68">
        <f>INDEX(Q3_Adult,8,22)</f>
        <v>0</v>
      </c>
    </row>
    <row r="13" spans="1:28" s="8" customFormat="1" ht="21.75" customHeight="1" thickTop="1" thickBot="1" x14ac:dyDescent="0.35">
      <c r="A13" s="435"/>
      <c r="B13" s="439" t="str">
        <f>INDEX(Q3_Adult,9,2)</f>
        <v>Cwm Taf Morgannwg UHB, Prince Charles Hospital</v>
      </c>
      <c r="C13" s="439" t="s">
        <v>20</v>
      </c>
      <c r="D13" s="440">
        <v>3</v>
      </c>
      <c r="E13" s="439" t="s">
        <v>22</v>
      </c>
      <c r="F13" s="66">
        <f>INDEX(Q3_Adult,9,7)</f>
        <v>0</v>
      </c>
      <c r="G13" s="72">
        <f>INDEX(Q3_Adult,9,8)</f>
        <v>0</v>
      </c>
      <c r="H13" s="207">
        <f>INDEX(Q3_Adult,9,9)</f>
        <v>0</v>
      </c>
      <c r="I13" s="208">
        <f t="shared" si="0"/>
        <v>0</v>
      </c>
      <c r="J13" s="209">
        <f>INDEX(Q3_Adult,9,10)</f>
        <v>0</v>
      </c>
      <c r="K13" s="208">
        <f t="shared" si="1"/>
        <v>0</v>
      </c>
      <c r="L13" s="209">
        <f>INDEX(Q3_Adult,9,11)</f>
        <v>0</v>
      </c>
      <c r="M13" s="208">
        <f t="shared" si="2"/>
        <v>0</v>
      </c>
      <c r="N13" s="209">
        <f>INDEX(Q3_Adult,9,12)</f>
        <v>0</v>
      </c>
      <c r="O13" s="208">
        <f t="shared" si="3"/>
        <v>0</v>
      </c>
      <c r="P13" s="210">
        <f>INDEX(Q3_Adult,9,13)</f>
        <v>0</v>
      </c>
      <c r="Q13" s="211">
        <f>INDEX(Q3_Adult,9,15)</f>
        <v>0</v>
      </c>
      <c r="R13" s="208">
        <f t="shared" si="4"/>
        <v>0</v>
      </c>
      <c r="S13" s="209">
        <f>INDEX(Q3_Adult,9,16)</f>
        <v>0</v>
      </c>
      <c r="T13" s="208">
        <f t="shared" si="5"/>
        <v>0</v>
      </c>
      <c r="U13" s="441">
        <f>INDEX(Q3_Adult,9,17)</f>
        <v>0</v>
      </c>
      <c r="V13" s="208">
        <f t="shared" si="6"/>
        <v>0</v>
      </c>
      <c r="W13" s="209">
        <f>INDEX(Q3_Adult,9,18)</f>
        <v>0</v>
      </c>
      <c r="X13" s="208">
        <f t="shared" si="7"/>
        <v>0</v>
      </c>
      <c r="Y13" s="115">
        <f>INDEX(Q3_Adult,9,19)</f>
        <v>0</v>
      </c>
      <c r="Z13" s="69">
        <f>INDEX(Q3_Adult,9,21)</f>
        <v>0</v>
      </c>
      <c r="AA13" s="70">
        <f>INDEX(Q3_Adult,9,22)</f>
        <v>0</v>
      </c>
    </row>
    <row r="14" spans="1:28" s="8" customFormat="1" ht="21.75" customHeight="1" thickTop="1" thickBot="1" x14ac:dyDescent="0.35">
      <c r="A14" s="435"/>
      <c r="B14" s="436" t="str">
        <f>INDEX(Q3_Adult,10,2)</f>
        <v>Hywel Dda UHB, Glangwilli Hospital</v>
      </c>
      <c r="C14" s="436" t="s">
        <v>20</v>
      </c>
      <c r="D14" s="437">
        <v>3</v>
      </c>
      <c r="E14" s="436" t="s">
        <v>22</v>
      </c>
      <c r="F14" s="65">
        <f>INDEX(Q3_Adult,10,7)</f>
        <v>0</v>
      </c>
      <c r="G14" s="71">
        <f>INDEX(Q3_Adult,10,8)</f>
        <v>0</v>
      </c>
      <c r="H14" s="213">
        <f>INDEX(Q3_Adult,10,9)</f>
        <v>0</v>
      </c>
      <c r="I14" s="203">
        <f t="shared" si="0"/>
        <v>0</v>
      </c>
      <c r="J14" s="204">
        <f>INDEX(Q3_Adult,10,10)</f>
        <v>0</v>
      </c>
      <c r="K14" s="203">
        <f t="shared" si="1"/>
        <v>0</v>
      </c>
      <c r="L14" s="204">
        <f>INDEX(Q3_Adult,10,11)</f>
        <v>0</v>
      </c>
      <c r="M14" s="203">
        <f t="shared" si="2"/>
        <v>0</v>
      </c>
      <c r="N14" s="204">
        <f>INDEX(Q3_Adult,10,12)</f>
        <v>0</v>
      </c>
      <c r="O14" s="203">
        <f t="shared" si="3"/>
        <v>0</v>
      </c>
      <c r="P14" s="205">
        <f>INDEX(Q3_Adult,10,13)</f>
        <v>0</v>
      </c>
      <c r="Q14" s="202">
        <f>INDEX(Q3_Adult,10,15)</f>
        <v>40</v>
      </c>
      <c r="R14" s="203">
        <f t="shared" si="4"/>
        <v>0.34482758620689657</v>
      </c>
      <c r="S14" s="204">
        <f>INDEX(Q3_Adult,10,16)</f>
        <v>26</v>
      </c>
      <c r="T14" s="203">
        <f t="shared" si="5"/>
        <v>0.22413793103448276</v>
      </c>
      <c r="U14" s="438">
        <f>INDEX(Q3_Adult,10,17)</f>
        <v>22</v>
      </c>
      <c r="V14" s="203">
        <f t="shared" si="6"/>
        <v>0.18965517241379309</v>
      </c>
      <c r="W14" s="204">
        <f>INDEX(Q3_Adult,10,18)</f>
        <v>28</v>
      </c>
      <c r="X14" s="203">
        <f t="shared" si="7"/>
        <v>0.2413793103448276</v>
      </c>
      <c r="Y14" s="114">
        <f>INDEX(Q3_Adult,10,19)</f>
        <v>116</v>
      </c>
      <c r="Z14" s="67">
        <f>INDEX(Q3_Adult,10,21)</f>
        <v>0</v>
      </c>
      <c r="AA14" s="68">
        <f>INDEX(Q3_Adult,10,22)</f>
        <v>0</v>
      </c>
    </row>
    <row r="15" spans="1:28" s="8" customFormat="1" ht="21.75" customHeight="1" thickTop="1" thickBot="1" x14ac:dyDescent="0.35">
      <c r="A15" s="435"/>
      <c r="B15" s="439" t="str">
        <f>INDEX(Q3_Adult,11,2)</f>
        <v>Hywel Dda UHB, Withybush Hospital</v>
      </c>
      <c r="C15" s="439" t="s">
        <v>20</v>
      </c>
      <c r="D15" s="440">
        <v>3</v>
      </c>
      <c r="E15" s="439" t="s">
        <v>22</v>
      </c>
      <c r="F15" s="66">
        <f>INDEX(Q3_Adult,11,7)</f>
        <v>0</v>
      </c>
      <c r="G15" s="72">
        <f>INDEX(Q3_Adult,11,8)</f>
        <v>0</v>
      </c>
      <c r="H15" s="207">
        <f>INDEX(Q3_Adult,11,9)</f>
        <v>1</v>
      </c>
      <c r="I15" s="208">
        <f t="shared" si="0"/>
        <v>0.33333333333333331</v>
      </c>
      <c r="J15" s="209">
        <f>INDEX(Q3_Adult,11,10)</f>
        <v>1</v>
      </c>
      <c r="K15" s="208">
        <f t="shared" si="1"/>
        <v>0.33333333333333331</v>
      </c>
      <c r="L15" s="209">
        <f>INDEX(Q3_Adult,11,11)</f>
        <v>1</v>
      </c>
      <c r="M15" s="208">
        <f t="shared" si="2"/>
        <v>0.33333333333333331</v>
      </c>
      <c r="N15" s="209">
        <f>INDEX(Q3_Adult,11,12)</f>
        <v>0</v>
      </c>
      <c r="O15" s="208">
        <f t="shared" si="3"/>
        <v>0</v>
      </c>
      <c r="P15" s="210">
        <f>INDEX(Q3_Adult,11,13)</f>
        <v>3</v>
      </c>
      <c r="Q15" s="211">
        <f>INDEX(Q3_Adult,11,15)</f>
        <v>0</v>
      </c>
      <c r="R15" s="208">
        <f t="shared" si="4"/>
        <v>0</v>
      </c>
      <c r="S15" s="209">
        <f>INDEX(Q3_Adult,11,16)</f>
        <v>0</v>
      </c>
      <c r="T15" s="208">
        <f t="shared" si="5"/>
        <v>0</v>
      </c>
      <c r="U15" s="441">
        <f>INDEX(Q3_Adult,11,17)</f>
        <v>0</v>
      </c>
      <c r="V15" s="208">
        <f t="shared" si="6"/>
        <v>0</v>
      </c>
      <c r="W15" s="209">
        <f>INDEX(Q3_Adult,11,18)</f>
        <v>0</v>
      </c>
      <c r="X15" s="208">
        <f t="shared" si="7"/>
        <v>0</v>
      </c>
      <c r="Y15" s="115">
        <f>INDEX(Q3_Adult,11,19)</f>
        <v>0</v>
      </c>
      <c r="Z15" s="69">
        <f>INDEX(Q3_Adult,11,21)</f>
        <v>0</v>
      </c>
      <c r="AA15" s="70">
        <f>INDEX(Q3_Adult,11,22)</f>
        <v>0</v>
      </c>
    </row>
    <row r="16" spans="1:28" s="8" customFormat="1" ht="21.75" customHeight="1" thickTop="1" thickBot="1" x14ac:dyDescent="0.35">
      <c r="A16" s="435"/>
      <c r="B16" s="436" t="str">
        <f>INDEX(Q3_Adult,12,2)</f>
        <v>Swansea Bay UHB, Morriston / Singleton Hospitals</v>
      </c>
      <c r="C16" s="436" t="s">
        <v>20</v>
      </c>
      <c r="D16" s="437">
        <v>3</v>
      </c>
      <c r="E16" s="436" t="s">
        <v>22</v>
      </c>
      <c r="F16" s="65">
        <f>INDEX(Q3_Adult,12,7)</f>
        <v>0</v>
      </c>
      <c r="G16" s="71">
        <f>INDEX(Q3_Adult,12,8)</f>
        <v>0</v>
      </c>
      <c r="H16" s="213">
        <f>INDEX(Q3_Adult,12,9)</f>
        <v>38</v>
      </c>
      <c r="I16" s="203">
        <f t="shared" si="0"/>
        <v>0.26573426573426573</v>
      </c>
      <c r="J16" s="204">
        <f>INDEX(Q3_Adult,12,10)</f>
        <v>30</v>
      </c>
      <c r="K16" s="203">
        <f t="shared" si="1"/>
        <v>0.20979020979020979</v>
      </c>
      <c r="L16" s="204">
        <f>INDEX(Q3_Adult,12,11)</f>
        <v>35</v>
      </c>
      <c r="M16" s="203">
        <f t="shared" si="2"/>
        <v>0.24475524475524477</v>
      </c>
      <c r="N16" s="204">
        <f>INDEX(Q3_Adult,12,12)</f>
        <v>40</v>
      </c>
      <c r="O16" s="203">
        <f t="shared" si="3"/>
        <v>0.27972027972027974</v>
      </c>
      <c r="P16" s="205">
        <f>INDEX(Q3_Adult,12,13)</f>
        <v>143</v>
      </c>
      <c r="Q16" s="202">
        <f>INDEX(Q3_Adult,12,15)</f>
        <v>0</v>
      </c>
      <c r="R16" s="203">
        <f t="shared" si="4"/>
        <v>0</v>
      </c>
      <c r="S16" s="204">
        <f>INDEX(Q3_Adult,12,16)</f>
        <v>0</v>
      </c>
      <c r="T16" s="203">
        <f t="shared" si="5"/>
        <v>0</v>
      </c>
      <c r="U16" s="438">
        <f>INDEX(Q3_Adult,12,17)</f>
        <v>0</v>
      </c>
      <c r="V16" s="203">
        <f t="shared" si="6"/>
        <v>0</v>
      </c>
      <c r="W16" s="204">
        <f>INDEX(Q3_Adult,12,18)</f>
        <v>0</v>
      </c>
      <c r="X16" s="203">
        <f t="shared" si="7"/>
        <v>0</v>
      </c>
      <c r="Y16" s="114">
        <f>INDEX(Q3_Adult,12,19)</f>
        <v>0</v>
      </c>
      <c r="Z16" s="67" t="str">
        <f>INDEX(Q3_Adult,12,21)</f>
        <v>na</v>
      </c>
      <c r="AA16" s="68">
        <f>INDEX(Q3_Adult,12,22)</f>
        <v>0</v>
      </c>
    </row>
    <row r="17" spans="1:27" s="8" customFormat="1" ht="21.75" customHeight="1" thickTop="1" thickBot="1" x14ac:dyDescent="0.35">
      <c r="A17" s="435"/>
      <c r="B17" s="439" t="str">
        <f>INDEX(Q3_Adult,13,2)</f>
        <v xml:space="preserve">Barnstaple, North Devon District Hospital </v>
      </c>
      <c r="C17" s="439" t="s">
        <v>20</v>
      </c>
      <c r="D17" s="440">
        <v>3</v>
      </c>
      <c r="E17" s="439" t="s">
        <v>21</v>
      </c>
      <c r="F17" s="66">
        <f>INDEX(Q3_Adult,13,7)</f>
        <v>32</v>
      </c>
      <c r="G17" s="72">
        <f>INDEX(Q3_Adult,13,8)</f>
        <v>32</v>
      </c>
      <c r="H17" s="207">
        <f>INDEX(Q3_Adult,13,9)</f>
        <v>6</v>
      </c>
      <c r="I17" s="208">
        <f t="shared" si="0"/>
        <v>8.5714285714285715E-2</v>
      </c>
      <c r="J17" s="209">
        <f>INDEX(Q3_Adult,13,10)</f>
        <v>18</v>
      </c>
      <c r="K17" s="208">
        <f t="shared" si="1"/>
        <v>0.25714285714285712</v>
      </c>
      <c r="L17" s="209">
        <f>INDEX(Q3_Adult,13,11)</f>
        <v>38</v>
      </c>
      <c r="M17" s="208">
        <f t="shared" si="2"/>
        <v>0.54285714285714282</v>
      </c>
      <c r="N17" s="209">
        <f>INDEX(Q3_Adult,13,12)</f>
        <v>8</v>
      </c>
      <c r="O17" s="208">
        <f t="shared" si="3"/>
        <v>0.11428571428571428</v>
      </c>
      <c r="P17" s="210">
        <f>INDEX(Q3_Adult,13,13)</f>
        <v>70</v>
      </c>
      <c r="Q17" s="211">
        <f>INDEX(Q3_Adult,13,15)</f>
        <v>6</v>
      </c>
      <c r="R17" s="208">
        <f t="shared" si="4"/>
        <v>8.5714285714285715E-2</v>
      </c>
      <c r="S17" s="209">
        <f>INDEX(Q3_Adult,13,16)</f>
        <v>18</v>
      </c>
      <c r="T17" s="208">
        <f t="shared" si="5"/>
        <v>0.25714285714285712</v>
      </c>
      <c r="U17" s="441">
        <f>INDEX(Q3_Adult,13,17)</f>
        <v>38</v>
      </c>
      <c r="V17" s="208">
        <f t="shared" si="6"/>
        <v>0.54285714285714282</v>
      </c>
      <c r="W17" s="209">
        <f>INDEX(Q3_Adult,13,18)</f>
        <v>8</v>
      </c>
      <c r="X17" s="208">
        <f t="shared" si="7"/>
        <v>0.11428571428571428</v>
      </c>
      <c r="Y17" s="115">
        <f>INDEX(Q3_Adult,13,19)</f>
        <v>70</v>
      </c>
      <c r="Z17" s="69">
        <f>INDEX(Q3_Adult,13,21)</f>
        <v>0</v>
      </c>
      <c r="AA17" s="70">
        <f>INDEX(Q3_Adult,13,22)</f>
        <v>0</v>
      </c>
    </row>
    <row r="18" spans="1:27" s="8" customFormat="1" ht="21.75" customHeight="1" thickTop="1" thickBot="1" x14ac:dyDescent="0.35">
      <c r="A18" s="435"/>
      <c r="B18" s="436" t="str">
        <f>INDEX(Q3_Adult,15,2)</f>
        <v xml:space="preserve">Exeter, Royal Devon and Exeter Hospital </v>
      </c>
      <c r="C18" s="436" t="s">
        <v>20</v>
      </c>
      <c r="D18" s="437">
        <v>3</v>
      </c>
      <c r="E18" s="436" t="s">
        <v>21</v>
      </c>
      <c r="F18" s="65" t="str">
        <f>INDEX(Q3_Adult,15,7)</f>
        <v>No data</v>
      </c>
      <c r="G18" s="71" t="str">
        <f>INDEX(Q3_Adult,15,8)</f>
        <v>No data</v>
      </c>
      <c r="H18" s="213" t="str">
        <f>INDEX(Q3_Adult,15,9)</f>
        <v>No data</v>
      </c>
      <c r="I18" s="203">
        <f t="shared" si="0"/>
        <v>0</v>
      </c>
      <c r="J18" s="204" t="str">
        <f>INDEX(Q3_Adult,15,10)</f>
        <v>No data</v>
      </c>
      <c r="K18" s="203">
        <f t="shared" si="1"/>
        <v>0</v>
      </c>
      <c r="L18" s="204" t="str">
        <f>INDEX(Q3_Adult,15,11)</f>
        <v>No data</v>
      </c>
      <c r="M18" s="203">
        <f t="shared" si="2"/>
        <v>0</v>
      </c>
      <c r="N18" s="204" t="str">
        <f>INDEX(Q3_Adult,15,12)</f>
        <v>No data</v>
      </c>
      <c r="O18" s="203">
        <f t="shared" si="3"/>
        <v>0</v>
      </c>
      <c r="P18" s="205" t="str">
        <f>INDEX(Q3_Adult,15,13)</f>
        <v>No data</v>
      </c>
      <c r="Q18" s="202" t="str">
        <f>INDEX(Q3_Adult,15,15)</f>
        <v>No data</v>
      </c>
      <c r="R18" s="203">
        <f t="shared" si="4"/>
        <v>0</v>
      </c>
      <c r="S18" s="204" t="str">
        <f>INDEX(Q3_Adult,15,16)</f>
        <v>No data</v>
      </c>
      <c r="T18" s="203">
        <f t="shared" si="5"/>
        <v>0</v>
      </c>
      <c r="U18" s="438" t="str">
        <f>INDEX(Q3_Adult,15,17)</f>
        <v>No data</v>
      </c>
      <c r="V18" s="203">
        <f t="shared" si="6"/>
        <v>0</v>
      </c>
      <c r="W18" s="204" t="str">
        <f>INDEX(Q3_Adult,15,18)</f>
        <v>No data</v>
      </c>
      <c r="X18" s="203">
        <f t="shared" si="7"/>
        <v>0</v>
      </c>
      <c r="Y18" s="114" t="str">
        <f>INDEX(Q3_Adult,15,19)</f>
        <v>No data</v>
      </c>
      <c r="Z18" s="67" t="str">
        <f>INDEX(Q3_Adult,15,21)</f>
        <v>No data</v>
      </c>
      <c r="AA18" s="68" t="str">
        <f>INDEX(Q3_Adult,15,22)</f>
        <v>No data</v>
      </c>
    </row>
    <row r="19" spans="1:27" s="8" customFormat="1" ht="21.75" customHeight="1" thickTop="1" thickBot="1" x14ac:dyDescent="0.35">
      <c r="A19" s="435"/>
      <c r="B19" s="439" t="str">
        <f>INDEX(Q3_Adult,16,2)</f>
        <v>Gloucester, Gloucestershire Hospitals</v>
      </c>
      <c r="C19" s="439" t="s">
        <v>20</v>
      </c>
      <c r="D19" s="440">
        <v>3</v>
      </c>
      <c r="E19" s="439" t="s">
        <v>21</v>
      </c>
      <c r="F19" s="66">
        <f>INDEX(Q3_Adult,16,7)</f>
        <v>24</v>
      </c>
      <c r="G19" s="72">
        <f>INDEX(Q3_Adult,16,8)</f>
        <v>24</v>
      </c>
      <c r="H19" s="207">
        <f>INDEX(Q3_Adult,16,9)</f>
        <v>10</v>
      </c>
      <c r="I19" s="208">
        <f t="shared" si="0"/>
        <v>0.12048192771084337</v>
      </c>
      <c r="J19" s="209">
        <f>INDEX(Q3_Adult,16,10)</f>
        <v>7</v>
      </c>
      <c r="K19" s="208">
        <f t="shared" si="1"/>
        <v>8.4337349397590355E-2</v>
      </c>
      <c r="L19" s="209">
        <f>INDEX(Q3_Adult,16,11)</f>
        <v>21</v>
      </c>
      <c r="M19" s="208">
        <f t="shared" si="2"/>
        <v>0.25301204819277107</v>
      </c>
      <c r="N19" s="209">
        <f>INDEX(Q3_Adult,16,12)</f>
        <v>45</v>
      </c>
      <c r="O19" s="208">
        <f t="shared" si="3"/>
        <v>0.54216867469879515</v>
      </c>
      <c r="P19" s="210">
        <f>INDEX(Q3_Adult,16,13)</f>
        <v>83</v>
      </c>
      <c r="Q19" s="211">
        <f>INDEX(Q3_Adult,16,15)</f>
        <v>10</v>
      </c>
      <c r="R19" s="208">
        <f t="shared" si="4"/>
        <v>0.12048192771084337</v>
      </c>
      <c r="S19" s="209">
        <f>INDEX(Q3_Adult,16,16)</f>
        <v>7</v>
      </c>
      <c r="T19" s="208">
        <f t="shared" si="5"/>
        <v>8.4337349397590355E-2</v>
      </c>
      <c r="U19" s="441">
        <f>INDEX(Q3_Adult,16,17)</f>
        <v>21</v>
      </c>
      <c r="V19" s="208">
        <f t="shared" si="6"/>
        <v>0.25301204819277107</v>
      </c>
      <c r="W19" s="209">
        <f>INDEX(Q3_Adult,16,18)</f>
        <v>45</v>
      </c>
      <c r="X19" s="208">
        <f t="shared" si="7"/>
        <v>0.54216867469879515</v>
      </c>
      <c r="Y19" s="115">
        <f>INDEX(Q3_Adult,16,19)</f>
        <v>83</v>
      </c>
      <c r="Z19" s="69">
        <f>INDEX(Q3_Adult,16,21)</f>
        <v>0</v>
      </c>
      <c r="AA19" s="70">
        <f>INDEX(Q3_Adult,16,22)</f>
        <v>0</v>
      </c>
    </row>
    <row r="20" spans="1:27" s="8" customFormat="1" ht="21.75" customHeight="1" thickTop="1" thickBot="1" x14ac:dyDescent="0.35">
      <c r="A20" s="435"/>
      <c r="B20" s="436" t="str">
        <f>INDEX(Q3_Adult,17,2)</f>
        <v xml:space="preserve">Plymouth, Derriford Hospital </v>
      </c>
      <c r="C20" s="436" t="s">
        <v>20</v>
      </c>
      <c r="D20" s="437">
        <v>3</v>
      </c>
      <c r="E20" s="436" t="s">
        <v>21</v>
      </c>
      <c r="F20" s="65">
        <f>INDEX(Q3_Adult,17,7)</f>
        <v>36</v>
      </c>
      <c r="G20" s="71">
        <f>INDEX(Q3_Adult,17,8)</f>
        <v>0</v>
      </c>
      <c r="H20" s="213">
        <f>INDEX(Q3_Adult,17,9)</f>
        <v>129</v>
      </c>
      <c r="I20" s="203">
        <f t="shared" si="0"/>
        <v>0.34959349593495936</v>
      </c>
      <c r="J20" s="204">
        <f>INDEX(Q3_Adult,17,10)</f>
        <v>73</v>
      </c>
      <c r="K20" s="203">
        <f t="shared" si="1"/>
        <v>0.19783197831978319</v>
      </c>
      <c r="L20" s="204">
        <f>INDEX(Q3_Adult,17,11)</f>
        <v>77</v>
      </c>
      <c r="M20" s="203">
        <f t="shared" si="2"/>
        <v>0.20867208672086721</v>
      </c>
      <c r="N20" s="204">
        <f>INDEX(Q3_Adult,17,12)</f>
        <v>90</v>
      </c>
      <c r="O20" s="203">
        <f t="shared" si="3"/>
        <v>0.24390243902439024</v>
      </c>
      <c r="P20" s="205">
        <f>INDEX(Q3_Adult,17,13)</f>
        <v>369</v>
      </c>
      <c r="Q20" s="202">
        <f>INDEX(Q3_Adult,17,15)</f>
        <v>0</v>
      </c>
      <c r="R20" s="203">
        <f t="shared" si="4"/>
        <v>0</v>
      </c>
      <c r="S20" s="204">
        <f>INDEX(Q3_Adult,17,16)</f>
        <v>0</v>
      </c>
      <c r="T20" s="203">
        <f t="shared" si="5"/>
        <v>0</v>
      </c>
      <c r="U20" s="438">
        <f>INDEX(Q3_Adult,17,17)</f>
        <v>0</v>
      </c>
      <c r="V20" s="203">
        <f t="shared" si="6"/>
        <v>0</v>
      </c>
      <c r="W20" s="204">
        <f>INDEX(Q3_Adult,17,18)</f>
        <v>0</v>
      </c>
      <c r="X20" s="203">
        <f t="shared" si="7"/>
        <v>0</v>
      </c>
      <c r="Y20" s="114">
        <f>INDEX(Q3_Adult,17,19)</f>
        <v>0</v>
      </c>
      <c r="Z20" s="67">
        <f>INDEX(Q3_Adult,17,21)</f>
        <v>0.04</v>
      </c>
      <c r="AA20" s="68">
        <f>INDEX(Q3_Adult,17,22)</f>
        <v>0</v>
      </c>
    </row>
    <row r="21" spans="1:27" s="8" customFormat="1" ht="21.75" customHeight="1" thickTop="1" thickBot="1" x14ac:dyDescent="0.35">
      <c r="A21" s="435"/>
      <c r="B21" s="439" t="str">
        <f>INDEX(Q3_Adult,18,2)</f>
        <v xml:space="preserve">Swindon, Great Weston Hospital </v>
      </c>
      <c r="C21" s="439" t="s">
        <v>20</v>
      </c>
      <c r="D21" s="440">
        <v>3</v>
      </c>
      <c r="E21" s="439" t="s">
        <v>21</v>
      </c>
      <c r="F21" s="66" t="str">
        <f>INDEX(Q3_Adult,18,7)</f>
        <v>No data</v>
      </c>
      <c r="G21" s="72" t="str">
        <f>INDEX(Q3_Adult,18,8)</f>
        <v>No data</v>
      </c>
      <c r="H21" s="207" t="str">
        <f>INDEX(Q3_Adult,18,9)</f>
        <v>No data</v>
      </c>
      <c r="I21" s="208">
        <f t="shared" si="0"/>
        <v>0</v>
      </c>
      <c r="J21" s="209" t="str">
        <f>INDEX(Q3_Adult,18,10)</f>
        <v>No data</v>
      </c>
      <c r="K21" s="208">
        <f t="shared" si="1"/>
        <v>0</v>
      </c>
      <c r="L21" s="209" t="str">
        <f>INDEX(Q3_Adult,18,11)</f>
        <v>No data</v>
      </c>
      <c r="M21" s="208">
        <f t="shared" si="2"/>
        <v>0</v>
      </c>
      <c r="N21" s="209" t="str">
        <f>INDEX(Q3_Adult,18,12)</f>
        <v>No data</v>
      </c>
      <c r="O21" s="208">
        <f t="shared" si="3"/>
        <v>0</v>
      </c>
      <c r="P21" s="210" t="str">
        <f>INDEX(Q3_Adult,18,13)</f>
        <v>No data</v>
      </c>
      <c r="Q21" s="211" t="str">
        <f>INDEX(Q3_Adult,18,15)</f>
        <v>No data</v>
      </c>
      <c r="R21" s="208">
        <f t="shared" si="4"/>
        <v>0</v>
      </c>
      <c r="S21" s="209" t="str">
        <f>INDEX(Q3_Adult,18,16)</f>
        <v>No data</v>
      </c>
      <c r="T21" s="208">
        <f t="shared" si="5"/>
        <v>0</v>
      </c>
      <c r="U21" s="441" t="str">
        <f>INDEX(Q3_Adult,18,17)</f>
        <v>No data</v>
      </c>
      <c r="V21" s="208">
        <f t="shared" si="6"/>
        <v>0</v>
      </c>
      <c r="W21" s="209" t="str">
        <f>INDEX(Q3_Adult,18,18)</f>
        <v>No data</v>
      </c>
      <c r="X21" s="208">
        <f t="shared" si="7"/>
        <v>0</v>
      </c>
      <c r="Y21" s="115" t="str">
        <f>INDEX(Q3_Adult,18,19)</f>
        <v>No data</v>
      </c>
      <c r="Z21" s="69" t="str">
        <f>INDEX(Q3_Adult,18,21)</f>
        <v>No data</v>
      </c>
      <c r="AA21" s="70" t="str">
        <f>INDEX(Q3_Adult,18,22)</f>
        <v>No data</v>
      </c>
    </row>
    <row r="22" spans="1:27" s="8" customFormat="1" ht="21.75" customHeight="1" thickTop="1" thickBot="1" x14ac:dyDescent="0.35">
      <c r="A22" s="435"/>
      <c r="B22" s="436" t="str">
        <f>INDEX(Q3_Adult,19,2)</f>
        <v xml:space="preserve">Taunton, Musgrove Park Hospital </v>
      </c>
      <c r="C22" s="436" t="s">
        <v>20</v>
      </c>
      <c r="D22" s="437">
        <v>3</v>
      </c>
      <c r="E22" s="436" t="s">
        <v>21</v>
      </c>
      <c r="F22" s="65">
        <f>INDEX(Q3_Adult,19,7)</f>
        <v>5</v>
      </c>
      <c r="G22" s="71">
        <f>INDEX(Q3_Adult,19,8)</f>
        <v>6</v>
      </c>
      <c r="H22" s="213">
        <f>INDEX(Q3_Adult,19,9)</f>
        <v>3</v>
      </c>
      <c r="I22" s="203">
        <f t="shared" si="0"/>
        <v>1</v>
      </c>
      <c r="J22" s="204">
        <f>INDEX(Q3_Adult,19,10)</f>
        <v>0</v>
      </c>
      <c r="K22" s="203">
        <f t="shared" si="1"/>
        <v>0</v>
      </c>
      <c r="L22" s="204">
        <f>INDEX(Q3_Adult,19,11)</f>
        <v>0</v>
      </c>
      <c r="M22" s="203">
        <f t="shared" si="2"/>
        <v>0</v>
      </c>
      <c r="N22" s="204">
        <f>INDEX(Q3_Adult,19,12)</f>
        <v>0</v>
      </c>
      <c r="O22" s="203">
        <f t="shared" si="3"/>
        <v>0</v>
      </c>
      <c r="P22" s="205">
        <f>INDEX(Q3_Adult,19,13)</f>
        <v>3</v>
      </c>
      <c r="Q22" s="202">
        <f>INDEX(Q3_Adult,19,15)</f>
        <v>9</v>
      </c>
      <c r="R22" s="203">
        <f t="shared" si="4"/>
        <v>1</v>
      </c>
      <c r="S22" s="204">
        <f>INDEX(Q3_Adult,19,16)</f>
        <v>0</v>
      </c>
      <c r="T22" s="203">
        <f t="shared" si="5"/>
        <v>0</v>
      </c>
      <c r="U22" s="438">
        <f>INDEX(Q3_Adult,19,17)</f>
        <v>0</v>
      </c>
      <c r="V22" s="203">
        <f t="shared" si="6"/>
        <v>0</v>
      </c>
      <c r="W22" s="204">
        <f>INDEX(Q3_Adult,19,18)</f>
        <v>0</v>
      </c>
      <c r="X22" s="203">
        <f t="shared" si="7"/>
        <v>0</v>
      </c>
      <c r="Y22" s="114">
        <f>INDEX(Q3_Adult,19,19)</f>
        <v>9</v>
      </c>
      <c r="Z22" s="67">
        <f>INDEX(Q3_Adult,19,21)</f>
        <v>0.06</v>
      </c>
      <c r="AA22" s="68">
        <f>INDEX(Q3_Adult,19,22)</f>
        <v>0.08</v>
      </c>
    </row>
    <row r="23" spans="1:27" s="8" customFormat="1" ht="21.75" customHeight="1" thickTop="1" thickBot="1" x14ac:dyDescent="0.35">
      <c r="A23" s="435"/>
      <c r="B23" s="439" t="str">
        <f>INDEX(Q3_Adult,20,2)</f>
        <v xml:space="preserve">Torquay, Torbay General District Hospital </v>
      </c>
      <c r="C23" s="439" t="s">
        <v>20</v>
      </c>
      <c r="D23" s="440">
        <v>3</v>
      </c>
      <c r="E23" s="439" t="s">
        <v>21</v>
      </c>
      <c r="F23" s="66">
        <f>INDEX(Q3_Adult,20,7)</f>
        <v>5</v>
      </c>
      <c r="G23" s="72">
        <f>INDEX(Q3_Adult,20,8)</f>
        <v>0</v>
      </c>
      <c r="H23" s="207">
        <f>INDEX(Q3_Adult,20,9)</f>
        <v>11</v>
      </c>
      <c r="I23" s="208">
        <f t="shared" si="0"/>
        <v>1</v>
      </c>
      <c r="J23" s="209">
        <f>INDEX(Q3_Adult,20,10)</f>
        <v>0</v>
      </c>
      <c r="K23" s="208">
        <f t="shared" si="1"/>
        <v>0</v>
      </c>
      <c r="L23" s="209">
        <f>INDEX(Q3_Adult,20,11)</f>
        <v>0</v>
      </c>
      <c r="M23" s="208">
        <f t="shared" si="2"/>
        <v>0</v>
      </c>
      <c r="N23" s="209">
        <f>INDEX(Q3_Adult,20,12)</f>
        <v>0</v>
      </c>
      <c r="O23" s="208">
        <f t="shared" si="3"/>
        <v>0</v>
      </c>
      <c r="P23" s="210">
        <f>INDEX(Q3_Adult,20,13)</f>
        <v>11</v>
      </c>
      <c r="Q23" s="211">
        <f>INDEX(Q3_Adult,20,15)</f>
        <v>3</v>
      </c>
      <c r="R23" s="208">
        <f t="shared" si="4"/>
        <v>0.13043478260869565</v>
      </c>
      <c r="S23" s="209">
        <f>INDEX(Q3_Adult,20,16)</f>
        <v>7</v>
      </c>
      <c r="T23" s="208">
        <f t="shared" si="5"/>
        <v>0.30434782608695654</v>
      </c>
      <c r="U23" s="441">
        <f>INDEX(Q3_Adult,20,17)</f>
        <v>12</v>
      </c>
      <c r="V23" s="208">
        <f t="shared" si="6"/>
        <v>0.52173913043478259</v>
      </c>
      <c r="W23" s="209">
        <f>INDEX(Q3_Adult,20,18)</f>
        <v>1</v>
      </c>
      <c r="X23" s="208">
        <f t="shared" si="7"/>
        <v>4.3478260869565216E-2</v>
      </c>
      <c r="Y23" s="115">
        <f>INDEX(Q3_Adult,20,19)</f>
        <v>23</v>
      </c>
      <c r="Z23" s="69">
        <f>INDEX(Q3_Adult,20,21)</f>
        <v>0.06</v>
      </c>
      <c r="AA23" s="70">
        <f>INDEX(Q3_Adult,20,22)</f>
        <v>0</v>
      </c>
    </row>
    <row r="24" spans="1:27" s="8" customFormat="1" ht="21.75" customHeight="1" thickTop="1" thickBot="1" x14ac:dyDescent="0.35">
      <c r="A24" s="435"/>
      <c r="B24" s="436" t="str">
        <f>INDEX(Q3_Adult,21,2)</f>
        <v xml:space="preserve">Truro, Royal Cornwall Hospital </v>
      </c>
      <c r="C24" s="436" t="s">
        <v>20</v>
      </c>
      <c r="D24" s="437">
        <v>3</v>
      </c>
      <c r="E24" s="436" t="s">
        <v>21</v>
      </c>
      <c r="F24" s="65">
        <f>INDEX(Q3_Adult,21,7)</f>
        <v>0</v>
      </c>
      <c r="G24" s="71">
        <f>INDEX(Q3_Adult,21,8)</f>
        <v>0</v>
      </c>
      <c r="H24" s="213">
        <f>INDEX(Q3_Adult,21,9)</f>
        <v>9</v>
      </c>
      <c r="I24" s="203">
        <f t="shared" si="0"/>
        <v>0.19565217391304349</v>
      </c>
      <c r="J24" s="204">
        <f>INDEX(Q3_Adult,21,10)</f>
        <v>11</v>
      </c>
      <c r="K24" s="203">
        <f t="shared" si="1"/>
        <v>0.2391304347826087</v>
      </c>
      <c r="L24" s="204">
        <f>INDEX(Q3_Adult,21,11)</f>
        <v>23</v>
      </c>
      <c r="M24" s="203">
        <f t="shared" si="2"/>
        <v>0.5</v>
      </c>
      <c r="N24" s="204">
        <f>INDEX(Q3_Adult,21,12)</f>
        <v>3</v>
      </c>
      <c r="O24" s="203">
        <f t="shared" si="3"/>
        <v>6.5217391304347824E-2</v>
      </c>
      <c r="P24" s="205">
        <f>INDEX(Q3_Adult,21,13)</f>
        <v>46</v>
      </c>
      <c r="Q24" s="202">
        <f>INDEX(Q3_Adult,21,15)</f>
        <v>48</v>
      </c>
      <c r="R24" s="203">
        <f t="shared" si="4"/>
        <v>0.26229508196721313</v>
      </c>
      <c r="S24" s="204">
        <f>INDEX(Q3_Adult,21,16)</f>
        <v>40</v>
      </c>
      <c r="T24" s="203">
        <f t="shared" si="5"/>
        <v>0.21857923497267759</v>
      </c>
      <c r="U24" s="438">
        <f>INDEX(Q3_Adult,21,17)</f>
        <v>90</v>
      </c>
      <c r="V24" s="203">
        <f t="shared" si="6"/>
        <v>0.49180327868852458</v>
      </c>
      <c r="W24" s="204">
        <f>INDEX(Q3_Adult,21,18)</f>
        <v>5</v>
      </c>
      <c r="X24" s="203">
        <f t="shared" si="7"/>
        <v>2.7322404371584699E-2</v>
      </c>
      <c r="Y24" s="114">
        <f>INDEX(Q3_Adult,21,19)</f>
        <v>183</v>
      </c>
      <c r="Z24" s="67">
        <f>INDEX(Q3_Adult,21,21)</f>
        <v>0</v>
      </c>
      <c r="AA24" s="68">
        <f>INDEX(Q3_Adult,21,22)</f>
        <v>0</v>
      </c>
    </row>
    <row r="25" spans="1:27" ht="15" thickTop="1" x14ac:dyDescent="0.3">
      <c r="A25" s="181"/>
      <c r="B25" s="16"/>
      <c r="C25" s="16"/>
      <c r="D25" s="16"/>
      <c r="E25" s="16"/>
      <c r="F25" s="15"/>
      <c r="G25" s="15"/>
      <c r="H25" s="120"/>
      <c r="I25" s="15"/>
      <c r="J25" s="120"/>
      <c r="K25" s="15"/>
      <c r="L25" s="120"/>
      <c r="M25" s="15"/>
      <c r="N25" s="120"/>
      <c r="O25" s="15"/>
      <c r="P25" s="15"/>
      <c r="Q25" s="120"/>
      <c r="R25" s="15"/>
      <c r="S25" s="120"/>
      <c r="T25" s="15"/>
      <c r="U25" s="120"/>
      <c r="V25" s="15"/>
      <c r="W25" s="120"/>
      <c r="X25" s="15"/>
      <c r="Y25" s="15"/>
      <c r="Z25" s="15"/>
      <c r="AA25" s="15"/>
    </row>
    <row r="26" spans="1:27" ht="15" thickBot="1" x14ac:dyDescent="0.35">
      <c r="A26" s="181"/>
      <c r="B26" s="16"/>
      <c r="C26" s="16"/>
      <c r="D26" s="16"/>
      <c r="E26" s="16"/>
      <c r="F26" s="15"/>
      <c r="G26" s="15"/>
      <c r="H26" s="120"/>
      <c r="I26" s="15"/>
      <c r="J26" s="120"/>
      <c r="K26" s="15"/>
      <c r="L26" s="120"/>
      <c r="M26" s="15"/>
      <c r="N26" s="120"/>
      <c r="O26" s="15"/>
      <c r="P26" s="15"/>
      <c r="Q26" s="120"/>
      <c r="R26" s="15"/>
      <c r="S26" s="120"/>
      <c r="T26" s="15"/>
      <c r="U26" s="120"/>
      <c r="V26" s="15"/>
      <c r="W26" s="120"/>
      <c r="X26" s="15"/>
      <c r="Y26" s="15"/>
      <c r="Z26" s="15"/>
      <c r="AA26" s="15"/>
    </row>
    <row r="27" spans="1:27" ht="14.4" x14ac:dyDescent="0.3">
      <c r="A27" s="181"/>
      <c r="B27" s="319" t="s">
        <v>86</v>
      </c>
      <c r="C27" s="443" t="s">
        <v>87</v>
      </c>
      <c r="D27" s="444"/>
      <c r="E27" s="445"/>
      <c r="F27" s="329" t="s">
        <v>78</v>
      </c>
      <c r="G27" s="300"/>
      <c r="H27" s="330"/>
      <c r="I27" s="331"/>
      <c r="J27" s="334" t="s">
        <v>84</v>
      </c>
      <c r="K27" s="335"/>
      <c r="L27" s="309" t="s">
        <v>84</v>
      </c>
      <c r="M27" s="310"/>
      <c r="N27" s="313" t="s">
        <v>84</v>
      </c>
      <c r="O27" s="314"/>
      <c r="P27" s="289"/>
      <c r="Q27" s="330"/>
      <c r="R27" s="331"/>
      <c r="S27" s="334" t="s">
        <v>84</v>
      </c>
      <c r="T27" s="335"/>
      <c r="U27" s="309" t="s">
        <v>84</v>
      </c>
      <c r="V27" s="310"/>
      <c r="W27" s="313" t="s">
        <v>84</v>
      </c>
      <c r="X27" s="314"/>
      <c r="Y27" s="129"/>
      <c r="Z27" s="299" t="s">
        <v>81</v>
      </c>
      <c r="AA27" s="300"/>
    </row>
    <row r="28" spans="1:27" ht="14.4" x14ac:dyDescent="0.3">
      <c r="A28" s="181"/>
      <c r="B28" s="319"/>
      <c r="C28" s="446"/>
      <c r="D28" s="447"/>
      <c r="E28" s="448"/>
      <c r="F28" s="449" t="s">
        <v>79</v>
      </c>
      <c r="G28" s="450"/>
      <c r="H28" s="332"/>
      <c r="I28" s="333"/>
      <c r="J28" s="336"/>
      <c r="K28" s="337"/>
      <c r="L28" s="311"/>
      <c r="M28" s="312"/>
      <c r="N28" s="315"/>
      <c r="O28" s="316"/>
      <c r="P28" s="290"/>
      <c r="Q28" s="332"/>
      <c r="R28" s="333"/>
      <c r="S28" s="336"/>
      <c r="T28" s="337"/>
      <c r="U28" s="311"/>
      <c r="V28" s="312"/>
      <c r="W28" s="315"/>
      <c r="X28" s="316"/>
      <c r="Y28" s="130"/>
      <c r="Z28" s="451" t="s">
        <v>82</v>
      </c>
      <c r="AA28" s="450"/>
    </row>
    <row r="29" spans="1:27" ht="15" thickBot="1" x14ac:dyDescent="0.35">
      <c r="A29" s="181"/>
      <c r="B29" s="319"/>
      <c r="C29" s="452"/>
      <c r="D29" s="453"/>
      <c r="E29" s="454"/>
      <c r="F29" s="455" t="s">
        <v>80</v>
      </c>
      <c r="G29" s="456"/>
      <c r="H29" s="457"/>
      <c r="I29" s="458"/>
      <c r="J29" s="459" t="s">
        <v>85</v>
      </c>
      <c r="K29" s="458"/>
      <c r="L29" s="459" t="s">
        <v>85</v>
      </c>
      <c r="M29" s="458"/>
      <c r="N29" s="459" t="s">
        <v>85</v>
      </c>
      <c r="O29" s="458"/>
      <c r="P29" s="460"/>
      <c r="Q29" s="457"/>
      <c r="R29" s="458"/>
      <c r="S29" s="459" t="s">
        <v>85</v>
      </c>
      <c r="T29" s="458"/>
      <c r="U29" s="459" t="s">
        <v>85</v>
      </c>
      <c r="V29" s="458"/>
      <c r="W29" s="459" t="s">
        <v>85</v>
      </c>
      <c r="X29" s="458"/>
      <c r="Y29" s="461"/>
      <c r="Z29" s="462" t="s">
        <v>83</v>
      </c>
      <c r="AA29" s="456"/>
    </row>
    <row r="30" spans="1:27" ht="14.4" x14ac:dyDescent="0.3">
      <c r="A30" s="181"/>
      <c r="B30" s="17"/>
      <c r="C30" s="17"/>
      <c r="D30" s="17"/>
      <c r="E30" s="17"/>
      <c r="F30" s="18"/>
      <c r="G30" s="18"/>
      <c r="H30" s="121"/>
      <c r="I30" s="18"/>
      <c r="J30" s="121"/>
      <c r="K30" s="18"/>
      <c r="L30" s="121"/>
      <c r="M30" s="18"/>
      <c r="N30" s="121"/>
      <c r="O30" s="18"/>
      <c r="P30" s="18"/>
      <c r="Q30" s="121"/>
      <c r="R30" s="18"/>
      <c r="S30" s="121"/>
      <c r="T30" s="18"/>
      <c r="U30" s="121"/>
      <c r="V30" s="18"/>
      <c r="W30" s="121"/>
      <c r="X30" s="18"/>
      <c r="Y30" s="18"/>
      <c r="Z30" s="18"/>
      <c r="AA30" s="19"/>
    </row>
    <row r="31" spans="1:27" ht="14.4" x14ac:dyDescent="0.3">
      <c r="A31" s="181"/>
      <c r="B31" s="15"/>
      <c r="C31" s="15"/>
      <c r="D31" s="15"/>
      <c r="E31" s="15"/>
      <c r="F31" s="20">
        <v>10</v>
      </c>
      <c r="G31" s="20">
        <v>10</v>
      </c>
      <c r="H31" s="122">
        <v>10</v>
      </c>
      <c r="I31" s="20"/>
      <c r="J31" s="122">
        <v>10</v>
      </c>
      <c r="K31" s="20">
        <v>10</v>
      </c>
      <c r="L31" s="122">
        <v>10</v>
      </c>
      <c r="M31" s="20"/>
      <c r="N31" s="122"/>
      <c r="O31" s="20"/>
      <c r="P31" s="20"/>
      <c r="Q31" s="122"/>
      <c r="R31" s="20"/>
      <c r="S31" s="122"/>
      <c r="T31" s="20"/>
      <c r="U31" s="122"/>
      <c r="V31" s="20"/>
      <c r="W31" s="122"/>
      <c r="X31" s="20"/>
      <c r="Y31" s="20"/>
      <c r="Z31" s="20"/>
      <c r="AA31" s="15"/>
    </row>
    <row r="32" spans="1:27" ht="14.4" x14ac:dyDescent="0.3">
      <c r="A32" s="181"/>
      <c r="B32" s="16" t="s">
        <v>15</v>
      </c>
      <c r="C32" s="16"/>
      <c r="D32" s="16"/>
      <c r="E32" s="16"/>
      <c r="F32" s="21"/>
      <c r="G32" s="15"/>
      <c r="H32" s="120"/>
      <c r="I32" s="15"/>
      <c r="J32" s="120"/>
      <c r="K32" s="15"/>
      <c r="L32" s="120"/>
      <c r="M32" s="15"/>
      <c r="N32" s="120"/>
      <c r="O32" s="15"/>
      <c r="P32" s="15"/>
      <c r="Q32" s="120"/>
      <c r="R32" s="15"/>
      <c r="S32" s="120"/>
      <c r="T32" s="15"/>
      <c r="U32" s="120"/>
      <c r="V32" s="15"/>
      <c r="W32" s="120"/>
      <c r="X32" s="15"/>
      <c r="Y32" s="15"/>
      <c r="Z32" s="15"/>
      <c r="AA32" s="15"/>
    </row>
    <row r="33" spans="2:27" ht="14.4" x14ac:dyDescent="0.3">
      <c r="B33" s="22" t="s">
        <v>16</v>
      </c>
      <c r="C33" s="22"/>
      <c r="D33" s="22"/>
      <c r="E33" s="22"/>
      <c r="F33" s="15"/>
      <c r="G33" s="15"/>
      <c r="H33" s="120"/>
      <c r="I33" s="15"/>
      <c r="J33" s="120"/>
      <c r="K33" s="15"/>
      <c r="L33" s="120"/>
      <c r="M33" s="15"/>
      <c r="N33" s="120"/>
      <c r="O33" s="15"/>
      <c r="P33" s="15"/>
      <c r="Q33" s="120"/>
      <c r="R33" s="15"/>
      <c r="S33" s="120"/>
      <c r="T33" s="15"/>
      <c r="U33" s="120"/>
      <c r="V33" s="15"/>
      <c r="W33" s="120"/>
      <c r="X33" s="15"/>
      <c r="Y33" s="15"/>
      <c r="Z33" s="15"/>
      <c r="AA33" s="15"/>
    </row>
    <row r="34" spans="2:27" ht="14.4" x14ac:dyDescent="0.3">
      <c r="B34" s="23"/>
      <c r="C34" s="23"/>
      <c r="D34" s="23"/>
      <c r="E34" s="23"/>
      <c r="F34" s="15"/>
      <c r="G34" s="15"/>
      <c r="H34" s="120"/>
      <c r="I34" s="15"/>
      <c r="J34" s="120"/>
      <c r="K34" s="15"/>
      <c r="L34" s="120"/>
      <c r="M34" s="15"/>
      <c r="N34" s="120"/>
      <c r="O34" s="15"/>
      <c r="P34" s="15"/>
      <c r="Q34" s="120"/>
      <c r="R34" s="15"/>
      <c r="S34" s="120"/>
      <c r="T34" s="15"/>
      <c r="U34" s="120"/>
      <c r="V34" s="15"/>
      <c r="W34" s="120"/>
      <c r="X34" s="15"/>
      <c r="Y34" s="15"/>
      <c r="Z34" s="15"/>
      <c r="AA34" s="15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sheetProtection algorithmName="SHA-512" hashValue="MMZALiP+0WDARZ77vJhht8vLYZFNy6USffdD2niJCn7Nsa/0ILJSh8SkUGHT5K0tCVcrtSU6e5NGb5WWUZsdtg==" saltValue="WBCkeo1kaRFxu+YpGf7NXA==" spinCount="100000" sheet="1" objects="1" scenarios="1" selectLockedCell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</mergeCells>
  <conditionalFormatting sqref="F8:G9">
    <cfRule type="containsText" dxfId="101" priority="28" operator="containsText" text="N/A">
      <formula>NOT(ISERROR(SEARCH("N/A",F8)))</formula>
    </cfRule>
    <cfRule type="cellIs" dxfId="100" priority="35" operator="between">
      <formula>0.01</formula>
      <formula>13</formula>
    </cfRule>
    <cfRule type="cellIs" dxfId="99" priority="36" operator="between">
      <formula>13</formula>
      <formula>18</formula>
    </cfRule>
    <cfRule type="cellIs" dxfId="98" priority="37" operator="greaterThan">
      <formula>18</formula>
    </cfRule>
    <cfRule type="cellIs" dxfId="97" priority="38" operator="greaterThan">
      <formula>18</formula>
    </cfRule>
  </conditionalFormatting>
  <conditionalFormatting sqref="T8:T9 K8:K9">
    <cfRule type="cellIs" dxfId="96" priority="34" operator="greaterThan">
      <formula>0.5</formula>
    </cfRule>
  </conditionalFormatting>
  <conditionalFormatting sqref="M8:M9 V8:V9">
    <cfRule type="cellIs" dxfId="95" priority="33" operator="greaterThan">
      <formula>0.49</formula>
    </cfRule>
  </conditionalFormatting>
  <conditionalFormatting sqref="X8:X9 O8:O9">
    <cfRule type="cellIs" dxfId="94" priority="32" operator="greaterThan">
      <formula>0.5</formula>
    </cfRule>
  </conditionalFormatting>
  <conditionalFormatting sqref="Z8:AA9">
    <cfRule type="cellIs" dxfId="93" priority="29" operator="between">
      <formula>0.0001</formula>
      <formula>0.1</formula>
    </cfRule>
    <cfRule type="cellIs" dxfId="92" priority="30" operator="between">
      <formula>0.1</formula>
      <formula>0.19</formula>
    </cfRule>
    <cfRule type="cellIs" dxfId="91" priority="31" operator="greaterThan">
      <formula>0.2</formula>
    </cfRule>
  </conditionalFormatting>
  <conditionalFormatting sqref="J8:J24">
    <cfRule type="expression" dxfId="90" priority="27">
      <formula>($J8/$P8*100)&gt;49.49</formula>
    </cfRule>
  </conditionalFormatting>
  <conditionalFormatting sqref="L8:L24">
    <cfRule type="expression" dxfId="89" priority="26">
      <formula>($L8/$P8*100)&gt;49.49</formula>
    </cfRule>
  </conditionalFormatting>
  <conditionalFormatting sqref="N8:N24">
    <cfRule type="expression" dxfId="88" priority="25">
      <formula>($N8/$P8*100)&gt;49.49</formula>
    </cfRule>
  </conditionalFormatting>
  <conditionalFormatting sqref="S8:S24">
    <cfRule type="expression" dxfId="87" priority="24">
      <formula>($S8/$Y8*100)&gt;49.49</formula>
    </cfRule>
  </conditionalFormatting>
  <conditionalFormatting sqref="U8:U24">
    <cfRule type="expression" dxfId="86" priority="23">
      <formula>($U8/$Y8*100)&gt;49.49</formula>
    </cfRule>
  </conditionalFormatting>
  <conditionalFormatting sqref="W8:W24">
    <cfRule type="expression" dxfId="85" priority="22">
      <formula>($W8/$Y8*100)&gt;49.49</formula>
    </cfRule>
  </conditionalFormatting>
  <conditionalFormatting sqref="L9">
    <cfRule type="expression" dxfId="84" priority="21">
      <formula>"$M$9=&gt;.499"</formula>
    </cfRule>
  </conditionalFormatting>
  <conditionalFormatting sqref="F8:AA24">
    <cfRule type="expression" dxfId="83" priority="20">
      <formula>$F8="No data"</formula>
    </cfRule>
  </conditionalFormatting>
  <conditionalFormatting sqref="F10:G24">
    <cfRule type="containsText" dxfId="82" priority="9" operator="containsText" text="N/A">
      <formula>NOT(ISERROR(SEARCH("N/A",F10)))</formula>
    </cfRule>
    <cfRule type="cellIs" dxfId="81" priority="16" operator="between">
      <formula>0.01</formula>
      <formula>13</formula>
    </cfRule>
    <cfRule type="cellIs" dxfId="80" priority="17" operator="between">
      <formula>13</formula>
      <formula>18</formula>
    </cfRule>
    <cfRule type="cellIs" dxfId="79" priority="18" operator="greaterThan">
      <formula>18</formula>
    </cfRule>
    <cfRule type="cellIs" dxfId="78" priority="19" operator="greaterThan">
      <formula>18</formula>
    </cfRule>
  </conditionalFormatting>
  <conditionalFormatting sqref="T10:T24 K10:K24">
    <cfRule type="cellIs" dxfId="77" priority="15" operator="greaterThan">
      <formula>0.5</formula>
    </cfRule>
  </conditionalFormatting>
  <conditionalFormatting sqref="M10:M24 V10:V24">
    <cfRule type="cellIs" dxfId="76" priority="14" operator="greaterThan">
      <formula>0.49</formula>
    </cfRule>
  </conditionalFormatting>
  <conditionalFormatting sqref="X10:X24 O10:O24">
    <cfRule type="cellIs" dxfId="75" priority="13" operator="greaterThan">
      <formula>0.5</formula>
    </cfRule>
  </conditionalFormatting>
  <conditionalFormatting sqref="Z10:AA24">
    <cfRule type="cellIs" dxfId="74" priority="10" operator="between">
      <formula>0.0001</formula>
      <formula>0.1</formula>
    </cfRule>
    <cfRule type="cellIs" dxfId="73" priority="11" operator="between">
      <formula>0.1</formula>
      <formula>0.19</formula>
    </cfRule>
    <cfRule type="cellIs" dxfId="72" priority="12" operator="greaterThan">
      <formula>0.2</formula>
    </cfRule>
  </conditionalFormatting>
  <conditionalFormatting sqref="L11 L13 L15 L17 L19 L21 L23">
    <cfRule type="expression" dxfId="71" priority="2">
      <formula>"$M$9=&gt;.499"</formula>
    </cfRule>
  </conditionalFormatting>
  <hyperlinks>
    <hyperlink ref="C27:E29" location="Sheet1!A1" display="For more information on rag ratings please click here" xr:uid="{00000000-0004-0000-0800-000000000000}"/>
    <hyperlink ref="B3" location="'Front Page'!A1" display="Return to Contents" xr:uid="{00000000-0004-0000-0800-000001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12</vt:i4>
      </vt:variant>
    </vt:vector>
  </HeadingPairs>
  <TitlesOfParts>
    <vt:vector size="35" baseType="lpstr">
      <vt:lpstr>Front Page</vt:lpstr>
      <vt:lpstr>RAG Ratings</vt:lpstr>
      <vt:lpstr>Q1 ADULTS</vt:lpstr>
      <vt:lpstr>Q1 PAEDS</vt:lpstr>
      <vt:lpstr>Q1 Graphs</vt:lpstr>
      <vt:lpstr>Q2 ADULTS</vt:lpstr>
      <vt:lpstr>Q2 PAEDS</vt:lpstr>
      <vt:lpstr>Q2 Graphs</vt:lpstr>
      <vt:lpstr>Q3 ADULTS</vt:lpstr>
      <vt:lpstr>Q3 PAEDS</vt:lpstr>
      <vt:lpstr>Q3 Graphs</vt:lpstr>
      <vt:lpstr>Q4 ADULTS</vt:lpstr>
      <vt:lpstr>Q4 PAEDS</vt:lpstr>
      <vt:lpstr>Q4 Graphs</vt:lpstr>
      <vt:lpstr>Y2D Adult OP</vt:lpstr>
      <vt:lpstr>Y2D Paeds OP</vt:lpstr>
      <vt:lpstr>Data</vt:lpstr>
      <vt:lpstr>Graph data Q1</vt:lpstr>
      <vt:lpstr>Graph data Q2</vt:lpstr>
      <vt:lpstr>Graph data Q3</vt:lpstr>
      <vt:lpstr>Graph data Q4</vt:lpstr>
      <vt:lpstr>Graph data Y2D</vt:lpstr>
      <vt:lpstr>Control</vt:lpstr>
      <vt:lpstr>AdultChoice</vt:lpstr>
      <vt:lpstr>AdultSites</vt:lpstr>
      <vt:lpstr>PaedChoice</vt:lpstr>
      <vt:lpstr>PaedSites</vt:lpstr>
      <vt:lpstr>Q1_Adult</vt:lpstr>
      <vt:lpstr>Q1_Paeds</vt:lpstr>
      <vt:lpstr>Q2_Adult</vt:lpstr>
      <vt:lpstr>Q2_Paeds</vt:lpstr>
      <vt:lpstr>Q3_Adult</vt:lpstr>
      <vt:lpstr>Q3_Paeds</vt:lpstr>
      <vt:lpstr>Q4_Adult</vt:lpstr>
      <vt:lpstr>Q4_Paeds</vt:lpstr>
    </vt:vector>
  </TitlesOfParts>
  <Company>University Hospitals Bristol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French, Georgina</dc:creator>
  <cp:lastModifiedBy>Burrows, Rachel</cp:lastModifiedBy>
  <dcterms:created xsi:type="dcterms:W3CDTF">2020-01-30T12:11:21Z</dcterms:created>
  <dcterms:modified xsi:type="dcterms:W3CDTF">2023-01-27T10:40:13Z</dcterms:modified>
</cp:coreProperties>
</file>